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ichmondvt-my.sharepoint.com/personal/cbona_richmondvt_gov/Documents/Desktop/"/>
    </mc:Choice>
  </mc:AlternateContent>
  <xr:revisionPtr revIDLastSave="1" documentId="8_{8FBA4611-8249-4D45-8869-E7DCD1839E14}" xr6:coauthVersionLast="47" xr6:coauthVersionMax="47" xr10:uidLastSave="{88D44A6D-C142-4D1C-BD62-15EE90C6618E}"/>
  <bookViews>
    <workbookView xWindow="-120" yWindow="-120" windowWidth="29040" windowHeight="15840" activeTab="10" xr2:uid="{4970A2FD-4F5A-463A-93B8-CDED1D66F32D}"/>
  </bookViews>
  <sheets>
    <sheet name="Admin" sheetId="2" r:id="rId1"/>
    <sheet name="Listers" sheetId="11" r:id="rId2"/>
    <sheet name="PZ" sheetId="8" r:id="rId3"/>
    <sheet name="Police" sheetId="9" r:id="rId4"/>
    <sheet name="Library" sheetId="3" r:id="rId5"/>
    <sheet name="Fire" sheetId="5" r:id="rId6"/>
    <sheet name="Recreation" sheetId="10" r:id="rId7"/>
    <sheet name="Appropriations" sheetId="12" r:id="rId8"/>
    <sheet name="Highway" sheetId="4" r:id="rId9"/>
    <sheet name="Water" sheetId="6" r:id="rId10"/>
    <sheet name="Wastewater" sheetId="7" r:id="rId11"/>
  </sheets>
  <calcPr calcId="191029"/>
</workbook>
</file>

<file path=xl/calcChain.xml><?xml version="1.0" encoding="utf-8"?>
<calcChain xmlns="http://schemas.openxmlformats.org/spreadsheetml/2006/main">
  <c r="D76" i="7" l="1"/>
  <c r="C76" i="7"/>
  <c r="B76" i="7"/>
  <c r="C13" i="7"/>
  <c r="B13" i="7"/>
  <c r="D49" i="9"/>
  <c r="C49" i="9"/>
  <c r="B49" i="9"/>
  <c r="C10" i="9"/>
  <c r="B10" i="9"/>
  <c r="D72" i="6"/>
  <c r="C72" i="6"/>
  <c r="B72" i="6"/>
  <c r="C12" i="6"/>
  <c r="B12" i="6"/>
  <c r="D11" i="11"/>
  <c r="C11" i="11"/>
  <c r="B11" i="11"/>
  <c r="D5" i="11"/>
  <c r="A5" i="11"/>
  <c r="D36" i="5"/>
  <c r="C36" i="5"/>
  <c r="B36" i="5"/>
  <c r="C6" i="5"/>
  <c r="B6" i="5"/>
  <c r="D31" i="10"/>
  <c r="C31" i="10"/>
  <c r="B31" i="10"/>
  <c r="C8" i="10"/>
  <c r="B8" i="10"/>
  <c r="D38" i="3"/>
  <c r="C38" i="3"/>
  <c r="B38" i="3"/>
  <c r="C11" i="3"/>
  <c r="D11" i="3" s="1"/>
  <c r="B11" i="3"/>
  <c r="D90" i="2"/>
  <c r="C90" i="2"/>
  <c r="B90" i="2"/>
  <c r="C31" i="2"/>
  <c r="B31" i="2"/>
  <c r="D31" i="2" s="1"/>
  <c r="D30" i="8"/>
  <c r="C30" i="8"/>
  <c r="B30" i="8"/>
  <c r="D21" i="12"/>
  <c r="C84" i="4"/>
  <c r="D84" i="4" s="1"/>
  <c r="B84" i="4"/>
  <c r="C13" i="4"/>
  <c r="D13" i="4" s="1"/>
  <c r="B13" i="4"/>
  <c r="C21" i="12"/>
  <c r="B21" i="12"/>
  <c r="D20" i="12"/>
  <c r="A20" i="12"/>
  <c r="D19" i="12"/>
  <c r="A19" i="12"/>
  <c r="D18" i="12"/>
  <c r="A18" i="12"/>
  <c r="D17" i="12"/>
  <c r="A17" i="12"/>
  <c r="D16" i="12"/>
  <c r="A16" i="12"/>
  <c r="D15" i="12"/>
  <c r="A15" i="12"/>
  <c r="D14" i="12"/>
  <c r="A14" i="12"/>
  <c r="D13" i="12"/>
  <c r="A13" i="12"/>
  <c r="D12" i="12"/>
  <c r="A12" i="12"/>
  <c r="D11" i="12"/>
  <c r="A11" i="12"/>
  <c r="D10" i="12"/>
  <c r="A10" i="12"/>
  <c r="D9" i="12"/>
  <c r="A9" i="12"/>
  <c r="D8" i="12"/>
  <c r="A8" i="12"/>
  <c r="A29" i="8"/>
  <c r="D29" i="8"/>
  <c r="A87" i="2"/>
  <c r="D87" i="2"/>
  <c r="A88" i="2"/>
  <c r="D88" i="2"/>
  <c r="A89" i="2"/>
  <c r="D89" i="2"/>
  <c r="A25" i="10"/>
  <c r="D25" i="10"/>
  <c r="A24" i="10"/>
  <c r="D24" i="10"/>
  <c r="A44" i="9"/>
  <c r="D44" i="9"/>
  <c r="A22" i="10"/>
  <c r="D22" i="10"/>
  <c r="A23" i="10"/>
  <c r="D23" i="10"/>
  <c r="A26" i="10"/>
  <c r="D26" i="10"/>
  <c r="A27" i="10"/>
  <c r="D27" i="10"/>
  <c r="A28" i="10"/>
  <c r="D28" i="10"/>
  <c r="A29" i="10"/>
  <c r="D29" i="10"/>
  <c r="A30" i="10"/>
  <c r="D30" i="10"/>
  <c r="D75" i="7"/>
  <c r="A75" i="7"/>
  <c r="D74" i="7"/>
  <c r="A74" i="7"/>
  <c r="D73" i="7"/>
  <c r="A73" i="7"/>
  <c r="D72" i="7"/>
  <c r="A72" i="7"/>
  <c r="D71" i="7"/>
  <c r="A71" i="7"/>
  <c r="D70" i="7"/>
  <c r="A70" i="7"/>
  <c r="D69" i="7"/>
  <c r="A69" i="7"/>
  <c r="D68" i="7"/>
  <c r="A68" i="7"/>
  <c r="D67" i="7"/>
  <c r="A67" i="7"/>
  <c r="D66" i="7"/>
  <c r="A66" i="7"/>
  <c r="D65" i="7"/>
  <c r="A65" i="7"/>
  <c r="D64" i="7"/>
  <c r="A64" i="7"/>
  <c r="D63" i="7"/>
  <c r="A63" i="7"/>
  <c r="D62" i="7"/>
  <c r="A62" i="7"/>
  <c r="D61" i="7"/>
  <c r="A61" i="7"/>
  <c r="D60" i="7"/>
  <c r="A60" i="7"/>
  <c r="D59" i="7"/>
  <c r="A59" i="7"/>
  <c r="D58" i="7"/>
  <c r="A58" i="7"/>
  <c r="D57" i="7"/>
  <c r="A57" i="7"/>
  <c r="D56" i="7"/>
  <c r="A56" i="7"/>
  <c r="D55" i="7"/>
  <c r="A55" i="7"/>
  <c r="D54" i="7"/>
  <c r="A54" i="7"/>
  <c r="D53" i="7"/>
  <c r="A53" i="7"/>
  <c r="D52" i="7"/>
  <c r="A52" i="7"/>
  <c r="D51" i="7"/>
  <c r="A51" i="7"/>
  <c r="D50" i="7"/>
  <c r="A50" i="7"/>
  <c r="D49" i="7"/>
  <c r="A49" i="7"/>
  <c r="D48" i="7"/>
  <c r="A48" i="7"/>
  <c r="D47" i="7"/>
  <c r="A47" i="7"/>
  <c r="D46" i="7"/>
  <c r="A46" i="7"/>
  <c r="D45" i="7"/>
  <c r="A45" i="7"/>
  <c r="D44" i="7"/>
  <c r="A44" i="7"/>
  <c r="D43" i="7"/>
  <c r="A43" i="7"/>
  <c r="D42" i="7"/>
  <c r="A42" i="7"/>
  <c r="D41" i="7"/>
  <c r="A41" i="7"/>
  <c r="D40" i="7"/>
  <c r="A40" i="7"/>
  <c r="D39" i="7"/>
  <c r="A39" i="7"/>
  <c r="D38" i="7"/>
  <c r="A38" i="7"/>
  <c r="D37" i="7"/>
  <c r="A37" i="7"/>
  <c r="D36" i="7"/>
  <c r="A36" i="7"/>
  <c r="D35" i="7"/>
  <c r="A35" i="7"/>
  <c r="D34" i="7"/>
  <c r="A34" i="7"/>
  <c r="D33" i="7"/>
  <c r="A33" i="7"/>
  <c r="D32" i="7"/>
  <c r="A32" i="7"/>
  <c r="D31" i="7"/>
  <c r="A31" i="7"/>
  <c r="D30" i="7"/>
  <c r="A30" i="7"/>
  <c r="D29" i="7"/>
  <c r="A29" i="7"/>
  <c r="D28" i="7"/>
  <c r="A28" i="7"/>
  <c r="D27" i="7"/>
  <c r="A27" i="7"/>
  <c r="D26" i="7"/>
  <c r="A26" i="7"/>
  <c r="D25" i="7"/>
  <c r="A25" i="7"/>
  <c r="D24" i="7"/>
  <c r="A24" i="7"/>
  <c r="D23" i="7"/>
  <c r="A23" i="7"/>
  <c r="D22" i="7"/>
  <c r="A22" i="7"/>
  <c r="D21" i="7"/>
  <c r="A21" i="7"/>
  <c r="D20" i="7"/>
  <c r="A20" i="7"/>
  <c r="D19" i="7"/>
  <c r="A19" i="7"/>
  <c r="D18" i="7"/>
  <c r="A18" i="7"/>
  <c r="D17" i="7"/>
  <c r="A17" i="7"/>
  <c r="D16" i="7"/>
  <c r="A16" i="7"/>
  <c r="D15" i="7"/>
  <c r="A15" i="7"/>
  <c r="D12" i="7"/>
  <c r="A12" i="7"/>
  <c r="D11" i="7"/>
  <c r="A11" i="7"/>
  <c r="D10" i="7"/>
  <c r="A10" i="7"/>
  <c r="D9" i="7"/>
  <c r="A9" i="7"/>
  <c r="D8" i="7"/>
  <c r="A8" i="7"/>
  <c r="D7" i="7"/>
  <c r="A7" i="7"/>
  <c r="D6" i="7"/>
  <c r="A6" i="7"/>
  <c r="D5" i="7"/>
  <c r="A5" i="7"/>
  <c r="D71" i="6"/>
  <c r="A71" i="6"/>
  <c r="D70" i="6"/>
  <c r="A70" i="6"/>
  <c r="D69" i="6"/>
  <c r="A69" i="6"/>
  <c r="D68" i="6"/>
  <c r="A68" i="6"/>
  <c r="D67" i="6"/>
  <c r="A67" i="6"/>
  <c r="D66" i="6"/>
  <c r="A66" i="6"/>
  <c r="D65" i="6"/>
  <c r="A65" i="6"/>
  <c r="D64" i="6"/>
  <c r="A64" i="6"/>
  <c r="D63" i="6"/>
  <c r="A63" i="6"/>
  <c r="D62" i="6"/>
  <c r="A62" i="6"/>
  <c r="D61" i="6"/>
  <c r="A61" i="6"/>
  <c r="D60" i="6"/>
  <c r="A60" i="6"/>
  <c r="D59" i="6"/>
  <c r="A59" i="6"/>
  <c r="D58" i="6"/>
  <c r="A58" i="6"/>
  <c r="D57" i="6"/>
  <c r="A57" i="6"/>
  <c r="D56" i="6"/>
  <c r="A56" i="6"/>
  <c r="D55" i="6"/>
  <c r="A55" i="6"/>
  <c r="D54" i="6"/>
  <c r="A54" i="6"/>
  <c r="D53" i="6"/>
  <c r="A53" i="6"/>
  <c r="D52" i="6"/>
  <c r="A52" i="6"/>
  <c r="D51" i="6"/>
  <c r="A51" i="6"/>
  <c r="D50" i="6"/>
  <c r="A50" i="6"/>
  <c r="D49" i="6"/>
  <c r="A49" i="6"/>
  <c r="D48" i="6"/>
  <c r="A48" i="6"/>
  <c r="D47" i="6"/>
  <c r="A47" i="6"/>
  <c r="D46" i="6"/>
  <c r="A46" i="6"/>
  <c r="D45" i="6"/>
  <c r="A45" i="6"/>
  <c r="D44" i="6"/>
  <c r="A44" i="6"/>
  <c r="D43" i="6"/>
  <c r="A43" i="6"/>
  <c r="D42" i="6"/>
  <c r="A42" i="6"/>
  <c r="D41" i="6"/>
  <c r="A41" i="6"/>
  <c r="D40" i="6"/>
  <c r="A40" i="6"/>
  <c r="D39" i="6"/>
  <c r="A39" i="6"/>
  <c r="D38" i="6"/>
  <c r="A38" i="6"/>
  <c r="D37" i="6"/>
  <c r="A37" i="6"/>
  <c r="D36" i="6"/>
  <c r="A36" i="6"/>
  <c r="D35" i="6"/>
  <c r="A35" i="6"/>
  <c r="D34" i="6"/>
  <c r="A34" i="6"/>
  <c r="D33" i="6"/>
  <c r="A33" i="6"/>
  <c r="D32" i="6"/>
  <c r="A32" i="6"/>
  <c r="D31" i="6"/>
  <c r="A31" i="6"/>
  <c r="D30" i="6"/>
  <c r="A30" i="6"/>
  <c r="D29" i="6"/>
  <c r="A29" i="6"/>
  <c r="D28" i="6"/>
  <c r="A28" i="6"/>
  <c r="D27" i="6"/>
  <c r="A27" i="6"/>
  <c r="D26" i="6"/>
  <c r="A26" i="6"/>
  <c r="D25" i="6"/>
  <c r="A25" i="6"/>
  <c r="D24" i="6"/>
  <c r="A24" i="6"/>
  <c r="D23" i="6"/>
  <c r="A23" i="6"/>
  <c r="D22" i="6"/>
  <c r="A22" i="6"/>
  <c r="D21" i="6"/>
  <c r="A21" i="6"/>
  <c r="D20" i="6"/>
  <c r="A20" i="6"/>
  <c r="D19" i="6"/>
  <c r="A19" i="6"/>
  <c r="D18" i="6"/>
  <c r="A18" i="6"/>
  <c r="D17" i="6"/>
  <c r="A17" i="6"/>
  <c r="D16" i="6"/>
  <c r="A16" i="6"/>
  <c r="D15" i="6"/>
  <c r="A15" i="6"/>
  <c r="D14" i="6"/>
  <c r="A14" i="6"/>
  <c r="D11" i="6"/>
  <c r="A11" i="6"/>
  <c r="D10" i="6"/>
  <c r="A10" i="6"/>
  <c r="D9" i="6"/>
  <c r="A9" i="6"/>
  <c r="D8" i="6"/>
  <c r="A8" i="6"/>
  <c r="D7" i="6"/>
  <c r="A7" i="6"/>
  <c r="D6" i="6"/>
  <c r="A6" i="6"/>
  <c r="D5" i="6"/>
  <c r="A5" i="6"/>
  <c r="D20" i="10"/>
  <c r="A20" i="10"/>
  <c r="A33" i="5"/>
  <c r="D33" i="5"/>
  <c r="A34" i="5"/>
  <c r="D34" i="5"/>
  <c r="A35" i="5"/>
  <c r="D35" i="5"/>
  <c r="A21" i="10"/>
  <c r="D21" i="10"/>
  <c r="A37" i="3"/>
  <c r="D37" i="3"/>
  <c r="D10" i="11"/>
  <c r="A10" i="11"/>
  <c r="D19" i="10"/>
  <c r="A19" i="10"/>
  <c r="D18" i="10"/>
  <c r="A18" i="10"/>
  <c r="D17" i="10"/>
  <c r="A17" i="10"/>
  <c r="D16" i="10"/>
  <c r="A16" i="10"/>
  <c r="D15" i="10"/>
  <c r="A15" i="10"/>
  <c r="D14" i="10"/>
  <c r="A14" i="10"/>
  <c r="D13" i="10"/>
  <c r="A13" i="10"/>
  <c r="D12" i="10"/>
  <c r="A12" i="10"/>
  <c r="D11" i="10"/>
  <c r="A11" i="10"/>
  <c r="D10" i="10"/>
  <c r="A10" i="10"/>
  <c r="D9" i="11"/>
  <c r="A9" i="11"/>
  <c r="D8" i="11"/>
  <c r="A8" i="11"/>
  <c r="D7" i="11"/>
  <c r="A7" i="11"/>
  <c r="D7" i="10"/>
  <c r="A7" i="10"/>
  <c r="D6" i="10"/>
  <c r="A6" i="10"/>
  <c r="D5" i="10"/>
  <c r="A5" i="10"/>
  <c r="D48" i="9"/>
  <c r="A48" i="9"/>
  <c r="D47" i="9"/>
  <c r="A47" i="9"/>
  <c r="D46" i="9"/>
  <c r="A46" i="9"/>
  <c r="D45" i="9"/>
  <c r="A45" i="9"/>
  <c r="D43" i="9"/>
  <c r="A43" i="9"/>
  <c r="D42" i="9"/>
  <c r="A42" i="9"/>
  <c r="D41" i="9"/>
  <c r="A41" i="9"/>
  <c r="D40" i="9"/>
  <c r="A40" i="9"/>
  <c r="D39" i="9"/>
  <c r="A39" i="9"/>
  <c r="D38" i="9"/>
  <c r="A38" i="9"/>
  <c r="D37" i="9"/>
  <c r="A37" i="9"/>
  <c r="D36" i="9"/>
  <c r="A36" i="9"/>
  <c r="D35" i="9"/>
  <c r="A35" i="9"/>
  <c r="D34" i="9"/>
  <c r="A34" i="9"/>
  <c r="D33" i="9"/>
  <c r="A33" i="9"/>
  <c r="D32" i="9"/>
  <c r="A32" i="9"/>
  <c r="D31" i="9"/>
  <c r="A31" i="9"/>
  <c r="D30" i="9"/>
  <c r="A30" i="9"/>
  <c r="D29" i="9"/>
  <c r="A29" i="9"/>
  <c r="D28" i="9"/>
  <c r="A28" i="9"/>
  <c r="D27" i="9"/>
  <c r="A27" i="9"/>
  <c r="D26" i="9"/>
  <c r="A26" i="9"/>
  <c r="D25" i="9"/>
  <c r="A25" i="9"/>
  <c r="D24" i="9"/>
  <c r="A24" i="9"/>
  <c r="D23" i="9"/>
  <c r="A23" i="9"/>
  <c r="D22" i="9"/>
  <c r="A22" i="9"/>
  <c r="D21" i="9"/>
  <c r="A21" i="9"/>
  <c r="D20" i="9"/>
  <c r="A20" i="9"/>
  <c r="D19" i="9"/>
  <c r="A19" i="9"/>
  <c r="D18" i="9"/>
  <c r="A18" i="9"/>
  <c r="D17" i="9"/>
  <c r="A17" i="9"/>
  <c r="D16" i="9"/>
  <c r="A16" i="9"/>
  <c r="D15" i="9"/>
  <c r="A15" i="9"/>
  <c r="D14" i="9"/>
  <c r="A14" i="9"/>
  <c r="D13" i="9"/>
  <c r="A13" i="9"/>
  <c r="D12" i="9"/>
  <c r="A12" i="9"/>
  <c r="D9" i="9"/>
  <c r="A9" i="9"/>
  <c r="D8" i="9"/>
  <c r="A8" i="9"/>
  <c r="D7" i="9"/>
  <c r="A7" i="9"/>
  <c r="D6" i="9"/>
  <c r="A6" i="9"/>
  <c r="D5" i="9"/>
  <c r="A5" i="9"/>
  <c r="D32" i="5"/>
  <c r="A32" i="5"/>
  <c r="D31" i="5"/>
  <c r="A31" i="5"/>
  <c r="D30" i="5"/>
  <c r="A30" i="5"/>
  <c r="D29" i="5"/>
  <c r="A29" i="5"/>
  <c r="D28" i="5"/>
  <c r="A28" i="5"/>
  <c r="D27" i="5"/>
  <c r="A27" i="5"/>
  <c r="D26" i="5"/>
  <c r="A26" i="5"/>
  <c r="D25" i="5"/>
  <c r="A25" i="5"/>
  <c r="D24" i="5"/>
  <c r="A24" i="5"/>
  <c r="D23" i="5"/>
  <c r="A23" i="5"/>
  <c r="D22" i="5"/>
  <c r="A22" i="5"/>
  <c r="D21" i="5"/>
  <c r="A21" i="5"/>
  <c r="D20" i="5"/>
  <c r="A20" i="5"/>
  <c r="D19" i="5"/>
  <c r="A19" i="5"/>
  <c r="D18" i="5"/>
  <c r="A18" i="5"/>
  <c r="D17" i="5"/>
  <c r="A17" i="5"/>
  <c r="D16" i="5"/>
  <c r="A16" i="5"/>
  <c r="D15" i="5"/>
  <c r="A15" i="5"/>
  <c r="D14" i="5"/>
  <c r="A14" i="5"/>
  <c r="D13" i="5"/>
  <c r="A13" i="5"/>
  <c r="D12" i="5"/>
  <c r="A12" i="5"/>
  <c r="D11" i="5"/>
  <c r="A11" i="5"/>
  <c r="D10" i="5"/>
  <c r="A10" i="5"/>
  <c r="D9" i="5"/>
  <c r="A9" i="5"/>
  <c r="D8" i="5"/>
  <c r="A8" i="5"/>
  <c r="D6" i="5"/>
  <c r="D5" i="5"/>
  <c r="A5" i="5"/>
  <c r="D36" i="3"/>
  <c r="A36" i="3"/>
  <c r="D35" i="3"/>
  <c r="A35" i="3"/>
  <c r="D34" i="3"/>
  <c r="A34" i="3"/>
  <c r="D33" i="3"/>
  <c r="A33" i="3"/>
  <c r="D32" i="3"/>
  <c r="A32" i="3"/>
  <c r="D31" i="3"/>
  <c r="A31" i="3"/>
  <c r="D30" i="3"/>
  <c r="A30" i="3"/>
  <c r="D29" i="3"/>
  <c r="A29" i="3"/>
  <c r="D28" i="3"/>
  <c r="A28" i="3"/>
  <c r="D27" i="3"/>
  <c r="A27" i="3"/>
  <c r="D26" i="3"/>
  <c r="A26" i="3"/>
  <c r="D25" i="3"/>
  <c r="A25" i="3"/>
  <c r="D24" i="3"/>
  <c r="A24" i="3"/>
  <c r="D23" i="3"/>
  <c r="A23" i="3"/>
  <c r="D22" i="3"/>
  <c r="A22" i="3"/>
  <c r="D21" i="3"/>
  <c r="A21" i="3"/>
  <c r="D20" i="3"/>
  <c r="A20" i="3"/>
  <c r="D19" i="3"/>
  <c r="A19" i="3"/>
  <c r="D18" i="3"/>
  <c r="A18" i="3"/>
  <c r="D17" i="3"/>
  <c r="A17" i="3"/>
  <c r="D16" i="3"/>
  <c r="A16" i="3"/>
  <c r="D15" i="3"/>
  <c r="A15" i="3"/>
  <c r="D14" i="3"/>
  <c r="A14" i="3"/>
  <c r="D13" i="3"/>
  <c r="A13" i="3"/>
  <c r="D10" i="3"/>
  <c r="A10" i="3"/>
  <c r="D9" i="3"/>
  <c r="A9" i="3"/>
  <c r="D8" i="3"/>
  <c r="A8" i="3"/>
  <c r="D7" i="3"/>
  <c r="A7" i="3"/>
  <c r="D6" i="3"/>
  <c r="A6" i="3"/>
  <c r="D5" i="3"/>
  <c r="A5" i="3"/>
  <c r="D86" i="2"/>
  <c r="A86" i="2"/>
  <c r="D85" i="2"/>
  <c r="A85" i="2"/>
  <c r="D84" i="2"/>
  <c r="A84" i="2"/>
  <c r="D83" i="2"/>
  <c r="A83" i="2"/>
  <c r="D82" i="2"/>
  <c r="A82" i="2"/>
  <c r="D81" i="2"/>
  <c r="A81" i="2"/>
  <c r="D80" i="2"/>
  <c r="A80" i="2"/>
  <c r="D79" i="2"/>
  <c r="A79" i="2"/>
  <c r="D78" i="2"/>
  <c r="A78" i="2"/>
  <c r="D77" i="2"/>
  <c r="A77" i="2"/>
  <c r="D76" i="2"/>
  <c r="A76" i="2"/>
  <c r="D75" i="2"/>
  <c r="A75" i="2"/>
  <c r="D74" i="2"/>
  <c r="A74" i="2"/>
  <c r="D73" i="2"/>
  <c r="A73" i="2"/>
  <c r="D72" i="2"/>
  <c r="A72" i="2"/>
  <c r="D71" i="2"/>
  <c r="A71" i="2"/>
  <c r="D70" i="2"/>
  <c r="A70" i="2"/>
  <c r="D69" i="2"/>
  <c r="A69" i="2"/>
  <c r="D68" i="2"/>
  <c r="A68" i="2"/>
  <c r="D67" i="2"/>
  <c r="A67" i="2"/>
  <c r="D66" i="2"/>
  <c r="A66" i="2"/>
  <c r="D65" i="2"/>
  <c r="A65" i="2"/>
  <c r="D64" i="2"/>
  <c r="A64" i="2"/>
  <c r="D63" i="2"/>
  <c r="A63" i="2"/>
  <c r="D62" i="2"/>
  <c r="A62" i="2"/>
  <c r="D61" i="2"/>
  <c r="A61" i="2"/>
  <c r="D60" i="2"/>
  <c r="A60" i="2"/>
  <c r="D59" i="2"/>
  <c r="A59" i="2"/>
  <c r="D58" i="2"/>
  <c r="A58" i="2"/>
  <c r="D57" i="2"/>
  <c r="A57" i="2"/>
  <c r="D56" i="2"/>
  <c r="A56" i="2"/>
  <c r="D55" i="2"/>
  <c r="A55" i="2"/>
  <c r="D54" i="2"/>
  <c r="A54" i="2"/>
  <c r="D53" i="2"/>
  <c r="A53" i="2"/>
  <c r="D52" i="2"/>
  <c r="A52" i="2"/>
  <c r="D51" i="2"/>
  <c r="A51" i="2"/>
  <c r="D50" i="2"/>
  <c r="A50" i="2"/>
  <c r="D49" i="2"/>
  <c r="A49" i="2"/>
  <c r="D48" i="2"/>
  <c r="A48" i="2"/>
  <c r="D47" i="2"/>
  <c r="A47" i="2"/>
  <c r="D46" i="2"/>
  <c r="A46" i="2"/>
  <c r="D45" i="2"/>
  <c r="A45" i="2"/>
  <c r="D44" i="2"/>
  <c r="A44" i="2"/>
  <c r="D43" i="2"/>
  <c r="A43" i="2"/>
  <c r="D42" i="2"/>
  <c r="A42" i="2"/>
  <c r="D41" i="2"/>
  <c r="A41" i="2"/>
  <c r="D40" i="2"/>
  <c r="A40" i="2"/>
  <c r="D39" i="2"/>
  <c r="A39" i="2"/>
  <c r="D38" i="2"/>
  <c r="A38" i="2"/>
  <c r="D37" i="2"/>
  <c r="A37" i="2"/>
  <c r="D36" i="2"/>
  <c r="A36" i="2"/>
  <c r="D35" i="2"/>
  <c r="A35" i="2"/>
  <c r="D34" i="2"/>
  <c r="A34" i="2"/>
  <c r="D33" i="2"/>
  <c r="A33" i="2"/>
  <c r="D30" i="2"/>
  <c r="A30" i="2"/>
  <c r="D29" i="2"/>
  <c r="A29" i="2"/>
  <c r="D28" i="2"/>
  <c r="A28" i="2"/>
  <c r="D27" i="2"/>
  <c r="A27" i="2"/>
  <c r="D26" i="2"/>
  <c r="A26" i="2"/>
  <c r="D25" i="2"/>
  <c r="A25" i="2"/>
  <c r="D24" i="2"/>
  <c r="A24" i="2"/>
  <c r="D23" i="2"/>
  <c r="A23" i="2"/>
  <c r="D22" i="2"/>
  <c r="A22" i="2"/>
  <c r="D21" i="2"/>
  <c r="A21" i="2"/>
  <c r="D20" i="2"/>
  <c r="A20" i="2"/>
  <c r="D19" i="2"/>
  <c r="A19" i="2"/>
  <c r="D18" i="2"/>
  <c r="A18" i="2"/>
  <c r="D17" i="2"/>
  <c r="A17" i="2"/>
  <c r="D16" i="2"/>
  <c r="A16" i="2"/>
  <c r="D15" i="2"/>
  <c r="A15" i="2"/>
  <c r="D14" i="2"/>
  <c r="A14" i="2"/>
  <c r="D13" i="2"/>
  <c r="A13" i="2"/>
  <c r="D12" i="2"/>
  <c r="A12" i="2"/>
  <c r="D11" i="2"/>
  <c r="A11" i="2"/>
  <c r="D10" i="2"/>
  <c r="A10" i="2"/>
  <c r="D9" i="2"/>
  <c r="A9" i="2"/>
  <c r="D8" i="2"/>
  <c r="A8" i="2"/>
  <c r="D7" i="2"/>
  <c r="A7" i="2"/>
  <c r="D6" i="2"/>
  <c r="A6" i="2"/>
  <c r="D5" i="2"/>
  <c r="A5" i="2"/>
  <c r="D28" i="8"/>
  <c r="A28" i="8"/>
  <c r="D27" i="8"/>
  <c r="A27" i="8"/>
  <c r="D26" i="8"/>
  <c r="A26" i="8"/>
  <c r="D25" i="8"/>
  <c r="A25" i="8"/>
  <c r="D24" i="8"/>
  <c r="A24" i="8"/>
  <c r="D23" i="8"/>
  <c r="A23" i="8"/>
  <c r="D22" i="8"/>
  <c r="A22" i="8"/>
  <c r="D21" i="8"/>
  <c r="A21" i="8"/>
  <c r="D20" i="8"/>
  <c r="A20" i="8"/>
  <c r="D19" i="8"/>
  <c r="A19" i="8"/>
  <c r="D18" i="8"/>
  <c r="A18" i="8"/>
  <c r="D17" i="8"/>
  <c r="A17" i="8"/>
  <c r="D16" i="8"/>
  <c r="A16" i="8"/>
  <c r="D15" i="8"/>
  <c r="A15" i="8"/>
  <c r="D14" i="8"/>
  <c r="A14" i="8"/>
  <c r="D13" i="8"/>
  <c r="A13" i="8"/>
  <c r="D12" i="8"/>
  <c r="A12" i="8"/>
  <c r="D11" i="8"/>
  <c r="A11" i="8"/>
  <c r="D10" i="8"/>
  <c r="A10" i="8"/>
  <c r="D9" i="8"/>
  <c r="A9" i="8"/>
  <c r="D8" i="8"/>
  <c r="A8" i="8"/>
  <c r="D7" i="8"/>
  <c r="A7" i="8"/>
  <c r="D5" i="8"/>
  <c r="A5" i="8"/>
  <c r="D83" i="4"/>
  <c r="A83" i="4"/>
  <c r="D82" i="4"/>
  <c r="A82" i="4"/>
  <c r="D81" i="4"/>
  <c r="A81" i="4"/>
  <c r="D80" i="4"/>
  <c r="A80" i="4"/>
  <c r="D79" i="4"/>
  <c r="A79" i="4"/>
  <c r="D78" i="4"/>
  <c r="A78" i="4"/>
  <c r="D77" i="4"/>
  <c r="A77" i="4"/>
  <c r="D76" i="4"/>
  <c r="A76" i="4"/>
  <c r="D75" i="4"/>
  <c r="A75" i="4"/>
  <c r="D74" i="4"/>
  <c r="A74" i="4"/>
  <c r="D73" i="4"/>
  <c r="A73" i="4"/>
  <c r="D72" i="4"/>
  <c r="A72" i="4"/>
  <c r="D71" i="4"/>
  <c r="A71" i="4"/>
  <c r="D70" i="4"/>
  <c r="A70" i="4"/>
  <c r="D69" i="4"/>
  <c r="A69" i="4"/>
  <c r="D68" i="4"/>
  <c r="A68" i="4"/>
  <c r="D67" i="4"/>
  <c r="A67" i="4"/>
  <c r="D66" i="4"/>
  <c r="A66" i="4"/>
  <c r="D65" i="4"/>
  <c r="A65" i="4"/>
  <c r="D64" i="4"/>
  <c r="A64" i="4"/>
  <c r="D63" i="4"/>
  <c r="A63" i="4"/>
  <c r="D62" i="4"/>
  <c r="A62" i="4"/>
  <c r="D61" i="4"/>
  <c r="A61" i="4"/>
  <c r="D60" i="4"/>
  <c r="A60" i="4"/>
  <c r="D59" i="4"/>
  <c r="A59" i="4"/>
  <c r="D58" i="4"/>
  <c r="A58" i="4"/>
  <c r="D57" i="4"/>
  <c r="A57" i="4"/>
  <c r="D56" i="4"/>
  <c r="A56" i="4"/>
  <c r="D55" i="4"/>
  <c r="A55" i="4"/>
  <c r="D54" i="4"/>
  <c r="A54" i="4"/>
  <c r="D53" i="4"/>
  <c r="A53" i="4"/>
  <c r="D52" i="4"/>
  <c r="A52" i="4"/>
  <c r="D51" i="4"/>
  <c r="A51" i="4"/>
  <c r="D50" i="4"/>
  <c r="A50" i="4"/>
  <c r="D49" i="4"/>
  <c r="A49" i="4"/>
  <c r="D48" i="4"/>
  <c r="A48" i="4"/>
  <c r="D47" i="4"/>
  <c r="A47" i="4"/>
  <c r="D46" i="4"/>
  <c r="A46" i="4"/>
  <c r="D45" i="4"/>
  <c r="A45" i="4"/>
  <c r="D44" i="4"/>
  <c r="A44" i="4"/>
  <c r="D43" i="4"/>
  <c r="A43" i="4"/>
  <c r="D42" i="4"/>
  <c r="A42" i="4"/>
  <c r="D41" i="4"/>
  <c r="A41" i="4"/>
  <c r="D40" i="4"/>
  <c r="A40" i="4"/>
  <c r="D39" i="4"/>
  <c r="A39" i="4"/>
  <c r="D38" i="4"/>
  <c r="A38" i="4"/>
  <c r="D37" i="4"/>
  <c r="A37" i="4"/>
  <c r="D36" i="4"/>
  <c r="A36" i="4"/>
  <c r="D35" i="4"/>
  <c r="A35" i="4"/>
  <c r="D34" i="4"/>
  <c r="A34" i="4"/>
  <c r="D33" i="4"/>
  <c r="A33" i="4"/>
  <c r="D32" i="4"/>
  <c r="A32" i="4"/>
  <c r="D31" i="4"/>
  <c r="A31" i="4"/>
  <c r="D30" i="4"/>
  <c r="A30" i="4"/>
  <c r="D29" i="4"/>
  <c r="A29" i="4"/>
  <c r="D28" i="4"/>
  <c r="A28" i="4"/>
  <c r="D27" i="4"/>
  <c r="A27" i="4"/>
  <c r="D26" i="4"/>
  <c r="A26" i="4"/>
  <c r="D25" i="4"/>
  <c r="A25" i="4"/>
  <c r="D24" i="4"/>
  <c r="A24" i="4"/>
  <c r="D22" i="4"/>
  <c r="A22" i="4"/>
  <c r="D21" i="4"/>
  <c r="A21" i="4"/>
  <c r="D20" i="4"/>
  <c r="A20" i="4"/>
  <c r="D19" i="4"/>
  <c r="A19" i="4"/>
  <c r="D18" i="4"/>
  <c r="A18" i="4"/>
  <c r="D17" i="4"/>
  <c r="A17" i="4"/>
  <c r="D16" i="4"/>
  <c r="A16" i="4"/>
  <c r="D15" i="4"/>
  <c r="A15" i="4"/>
  <c r="D23" i="4"/>
  <c r="A23" i="4"/>
  <c r="D12" i="4"/>
  <c r="A12" i="4"/>
  <c r="D11" i="4"/>
  <c r="A11" i="4"/>
  <c r="D10" i="4"/>
  <c r="A10" i="4"/>
  <c r="D9" i="4"/>
  <c r="A9" i="4"/>
  <c r="D8" i="4"/>
  <c r="A8" i="4"/>
  <c r="D7" i="4"/>
  <c r="A7" i="4"/>
  <c r="D6" i="4"/>
  <c r="A6" i="4"/>
  <c r="D5" i="4"/>
  <c r="A5" i="4"/>
  <c r="D13" i="7" l="1"/>
  <c r="D10" i="9"/>
  <c r="D12" i="6"/>
</calcChain>
</file>

<file path=xl/sharedStrings.xml><?xml version="1.0" encoding="utf-8"?>
<sst xmlns="http://schemas.openxmlformats.org/spreadsheetml/2006/main" count="79" uniqueCount="8">
  <si>
    <t>05/23/25                                           TOWN OF RICHMOND General Ledger                                            Page 1</t>
  </si>
  <si>
    <t>09:13 am                                      Current Yr Pd: 11 - Budget Status Report                                         cbona</t>
  </si>
  <si>
    <t>Actual</t>
  </si>
  <si>
    <t>Budget</t>
  </si>
  <si>
    <t>% of Budget</t>
  </si>
  <si>
    <t>TOTAL EXPENSE</t>
  </si>
  <si>
    <t>TOTAL REVENUE</t>
  </si>
  <si>
    <t>TOTAL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</si>
</sst>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(* #,##0_);_(* \(#,##0\);_(* &quot;-&quot;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4">
    <xf numFmtId="0" fontId="0" fillId="0" borderId="0" xfId="0"/>
    <xf numFmtId="10" fontId="0" fillId="0" borderId="0" xfId="0" applyNumberFormat="1"/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41" fontId="0" fillId="0" borderId="0" xfId="0" applyNumberFormat="1" applyFill="1"/>
    <xf numFmtId="41" fontId="0" fillId="0" borderId="0" xfId="0" applyNumberFormat="1"/>
    <xf numFmtId="41" fontId="0" fillId="0" borderId="0" xfId="0" applyNumberFormat="1" applyAlignment="1">
      <alignment horizontal="center"/>
    </xf>
    <xf numFmtId="0" fontId="0" fillId="0" borderId="0" xfId="0" applyFill="1" applyAlignment="1">
      <alignment horizontal="right"/>
    </xf>
    <xf numFmtId="10" fontId="0" fillId="0" borderId="0" xfId="0" applyNumberFormat="1" applyFill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right" indent="1"/>
    </xf>
    <xf numFmtId="9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B3342-F377-4033-ADC6-ECD9720748B2}">
  <dimension ref="A1:D90"/>
  <sheetViews>
    <sheetView topLeftCell="A67" workbookViewId="0">
      <selection activeCell="A12" sqref="A12:XFD12"/>
    </sheetView>
  </sheetViews>
  <sheetFormatPr defaultRowHeight="15" x14ac:dyDescent="0.25"/>
  <cols>
    <col min="1" max="1" width="42.7109375" customWidth="1"/>
    <col min="2" max="2" width="18.140625" style="7" customWidth="1"/>
    <col min="3" max="3" width="17.7109375" style="7" customWidth="1"/>
    <col min="4" max="4" width="14.85546875" customWidth="1"/>
  </cols>
  <sheetData>
    <row r="1" spans="1:4" x14ac:dyDescent="0.25">
      <c r="A1" t="s">
        <v>0</v>
      </c>
      <c r="D1" s="2"/>
    </row>
    <row r="2" spans="1:4" x14ac:dyDescent="0.25">
      <c r="A2" t="s">
        <v>1</v>
      </c>
      <c r="D2" s="2"/>
    </row>
    <row r="3" spans="1:4" x14ac:dyDescent="0.25">
      <c r="D3" s="2" t="s">
        <v>2</v>
      </c>
    </row>
    <row r="4" spans="1:4" x14ac:dyDescent="0.25">
      <c r="B4" s="8" t="s">
        <v>3</v>
      </c>
      <c r="C4" s="8" t="s">
        <v>2</v>
      </c>
      <c r="D4" s="2" t="s">
        <v>4</v>
      </c>
    </row>
    <row r="5" spans="1:4" x14ac:dyDescent="0.25">
      <c r="A5" t="str">
        <f>"10-6-00-0-00.03 ARPA trans in for wages"</f>
        <v>10-6-00-0-00.03 ARPA trans in for wages</v>
      </c>
      <c r="B5" s="7">
        <v>0</v>
      </c>
      <c r="C5" s="7">
        <v>993021</v>
      </c>
      <c r="D5" s="2" t="str">
        <f>"100.00%"</f>
        <v>100.00%</v>
      </c>
    </row>
    <row r="6" spans="1:4" x14ac:dyDescent="0.25">
      <c r="A6" t="str">
        <f>"10-6-01-1-01.10 Current Year Property Tax"</f>
        <v>10-6-01-1-01.10 Current Year Property Tax</v>
      </c>
      <c r="B6" s="7">
        <v>2080526</v>
      </c>
      <c r="C6" s="7">
        <v>2081716.75</v>
      </c>
      <c r="D6" s="2" t="str">
        <f>"100.06%"</f>
        <v>100.06%</v>
      </c>
    </row>
    <row r="7" spans="1:4" x14ac:dyDescent="0.25">
      <c r="A7" t="str">
        <f>"10-6-01-1-01.12 Delinquent Tax Penalty"</f>
        <v>10-6-01-1-01.12 Delinquent Tax Penalty</v>
      </c>
      <c r="B7" s="7">
        <v>10000</v>
      </c>
      <c r="C7" s="7">
        <v>17059.91</v>
      </c>
      <c r="D7" s="2" t="str">
        <f>"170.60%"</f>
        <v>170.60%</v>
      </c>
    </row>
    <row r="8" spans="1:4" x14ac:dyDescent="0.25">
      <c r="A8" t="str">
        <f>"10-6-01-1-01.13 Delinquent Tax Interest"</f>
        <v>10-6-01-1-01.13 Delinquent Tax Interest</v>
      </c>
      <c r="B8" s="7">
        <v>10000</v>
      </c>
      <c r="C8" s="7">
        <v>5388.01</v>
      </c>
      <c r="D8" s="2" t="str">
        <f>"53.88%"</f>
        <v>53.88%</v>
      </c>
    </row>
    <row r="9" spans="1:4" x14ac:dyDescent="0.25">
      <c r="A9" t="str">
        <f>"10-6-01-1-01.14 Current Taxes - Interest"</f>
        <v>10-6-01-1-01.14 Current Taxes - Interest</v>
      </c>
      <c r="B9" s="7">
        <v>10000</v>
      </c>
      <c r="C9" s="7">
        <v>10587.64</v>
      </c>
      <c r="D9" s="2" t="str">
        <f>"105.88%"</f>
        <v>105.88%</v>
      </c>
    </row>
    <row r="10" spans="1:4" x14ac:dyDescent="0.25">
      <c r="A10" t="str">
        <f>"10-6-01-1-01.17 PILOT Funds"</f>
        <v>10-6-01-1-01.17 PILOT Funds</v>
      </c>
      <c r="B10" s="7">
        <v>5000</v>
      </c>
      <c r="C10" s="7">
        <v>4941.53</v>
      </c>
      <c r="D10" s="2" t="str">
        <f>"98.83%"</f>
        <v>98.83%</v>
      </c>
    </row>
    <row r="11" spans="1:4" x14ac:dyDescent="0.25">
      <c r="A11" t="str">
        <f>"10-6-01-1-01.19 Education fee retained"</f>
        <v>10-6-01-1-01.19 Education fee retained</v>
      </c>
      <c r="B11" s="7">
        <v>17082</v>
      </c>
      <c r="C11" s="7">
        <v>19612.97</v>
      </c>
      <c r="D11" s="2" t="str">
        <f>"114.82%"</f>
        <v>114.82%</v>
      </c>
    </row>
    <row r="12" spans="1:4" x14ac:dyDescent="0.25">
      <c r="A12" t="str">
        <f>"10-6-02-2-10.12 Equalization Grant"</f>
        <v>10-6-02-2-10.12 Equalization Grant</v>
      </c>
      <c r="B12" s="7">
        <v>1765</v>
      </c>
      <c r="C12" s="7">
        <v>1785</v>
      </c>
      <c r="D12" s="2" t="str">
        <f>"101.13%"</f>
        <v>101.13%</v>
      </c>
    </row>
    <row r="13" spans="1:4" x14ac:dyDescent="0.25">
      <c r="A13" t="str">
        <f>"10-6-02-2-10.13 Railroad Tax"</f>
        <v>10-6-02-2-10.13 Railroad Tax</v>
      </c>
      <c r="B13" s="7">
        <v>4000</v>
      </c>
      <c r="C13" s="7">
        <v>0</v>
      </c>
      <c r="D13" s="2" t="str">
        <f>"0.00%"</f>
        <v>0.00%</v>
      </c>
    </row>
    <row r="14" spans="1:4" x14ac:dyDescent="0.25">
      <c r="A14" t="str">
        <f>"10-6-02-2-10.14 Current Use Program"</f>
        <v>10-6-02-2-10.14 Current Use Program</v>
      </c>
      <c r="B14" s="7">
        <v>85000</v>
      </c>
      <c r="C14" s="7">
        <v>70791</v>
      </c>
      <c r="D14" s="2" t="str">
        <f>"83.28%"</f>
        <v>83.28%</v>
      </c>
    </row>
    <row r="15" spans="1:4" x14ac:dyDescent="0.25">
      <c r="A15" t="str">
        <f>"10-6-02-2-10.18 Land Use Change Penalties"</f>
        <v>10-6-02-2-10.18 Land Use Change Penalties</v>
      </c>
      <c r="B15" s="7">
        <v>0</v>
      </c>
      <c r="C15" s="7">
        <v>1649</v>
      </c>
      <c r="D15" s="2" t="str">
        <f>"100.00%"</f>
        <v>100.00%</v>
      </c>
    </row>
    <row r="16" spans="1:4" x14ac:dyDescent="0.25">
      <c r="A16" t="str">
        <f>"10-6-10-1-20.01 Water/Sewer Admin."</f>
        <v>10-6-10-1-20.01 Water/Sewer Admin.</v>
      </c>
      <c r="B16" s="7">
        <v>43394</v>
      </c>
      <c r="C16" s="7">
        <v>43394</v>
      </c>
      <c r="D16" s="2" t="str">
        <f>"100.00%"</f>
        <v>100.00%</v>
      </c>
    </row>
    <row r="17" spans="1:4" x14ac:dyDescent="0.25">
      <c r="A17" t="str">
        <f>"10-6-10-1-20.05 Water/Sewer Audit"</f>
        <v>10-6-10-1-20.05 Water/Sewer Audit</v>
      </c>
      <c r="B17" s="7">
        <v>5000</v>
      </c>
      <c r="C17" s="7">
        <v>3633</v>
      </c>
      <c r="D17" s="2" t="str">
        <f>"72.66%"</f>
        <v>72.66%</v>
      </c>
    </row>
    <row r="18" spans="1:4" x14ac:dyDescent="0.25">
      <c r="A18" t="str">
        <f>"10-6-10-1-21.01 Town Center utility reimb"</f>
        <v>10-6-10-1-21.01 Town Center utility reimb</v>
      </c>
      <c r="B18" s="7">
        <v>25000</v>
      </c>
      <c r="C18" s="7">
        <v>18563.88</v>
      </c>
      <c r="D18" s="2" t="str">
        <f>"74.26%"</f>
        <v>74.26%</v>
      </c>
    </row>
    <row r="19" spans="1:4" x14ac:dyDescent="0.25">
      <c r="A19" t="str">
        <f>"10-6-10-1-21.03 Town Center Ins reimburse"</f>
        <v>10-6-10-1-21.03 Town Center Ins reimburse</v>
      </c>
      <c r="B19" s="7">
        <v>6100</v>
      </c>
      <c r="C19" s="7">
        <v>5383.55</v>
      </c>
      <c r="D19" s="2" t="str">
        <f>"88.25%"</f>
        <v>88.25%</v>
      </c>
    </row>
    <row r="20" spans="1:4" x14ac:dyDescent="0.25">
      <c r="A20" t="str">
        <f>"10-6-10-1-40.05 Net Interest General Acct"</f>
        <v>10-6-10-1-40.05 Net Interest General Acct</v>
      </c>
      <c r="B20" s="7">
        <v>100000</v>
      </c>
      <c r="C20" s="7">
        <v>115933.16</v>
      </c>
      <c r="D20" s="2" t="str">
        <f>"115.93%"</f>
        <v>115.93%</v>
      </c>
    </row>
    <row r="21" spans="1:4" x14ac:dyDescent="0.25">
      <c r="A21" t="str">
        <f>"10-6-10-1-99.10 Misc Revenue General"</f>
        <v>10-6-10-1-99.10 Misc Revenue General</v>
      </c>
      <c r="B21" s="7">
        <v>0</v>
      </c>
      <c r="C21" s="7">
        <v>307.31</v>
      </c>
      <c r="D21" s="2" t="str">
        <f>"100.00%"</f>
        <v>100.00%</v>
      </c>
    </row>
    <row r="22" spans="1:4" x14ac:dyDescent="0.25">
      <c r="A22" t="str">
        <f>"10-6-10-2-62.00 Building Maintenance"</f>
        <v>10-6-10-2-62.00 Building Maintenance</v>
      </c>
      <c r="B22" s="7">
        <v>15000</v>
      </c>
      <c r="C22" s="7">
        <v>15000</v>
      </c>
      <c r="D22" s="2" t="str">
        <f>"100.00%"</f>
        <v>100.00%</v>
      </c>
    </row>
    <row r="23" spans="1:4" x14ac:dyDescent="0.25">
      <c r="A23" t="str">
        <f>"10-6-10-3-11.10 Beverage Licenses"</f>
        <v>10-6-10-3-11.10 Beverage Licenses</v>
      </c>
      <c r="B23" s="7">
        <v>1400</v>
      </c>
      <c r="C23" s="7">
        <v>555</v>
      </c>
      <c r="D23" s="2" t="str">
        <f>"39.64%"</f>
        <v>39.64%</v>
      </c>
    </row>
    <row r="24" spans="1:4" x14ac:dyDescent="0.25">
      <c r="A24" t="str">
        <f>"10-6-10-3-11.11 Dog Licenses"</f>
        <v>10-6-10-3-11.11 Dog Licenses</v>
      </c>
      <c r="B24" s="7">
        <v>4000</v>
      </c>
      <c r="C24" s="7">
        <v>2972</v>
      </c>
      <c r="D24" s="2" t="str">
        <f>"74.30%"</f>
        <v>74.30%</v>
      </c>
    </row>
    <row r="25" spans="1:4" x14ac:dyDescent="0.25">
      <c r="A25" t="str">
        <f>"10-6-10-3-30.10 Recording Fees"</f>
        <v>10-6-10-3-30.10 Recording Fees</v>
      </c>
      <c r="B25" s="7">
        <v>20000</v>
      </c>
      <c r="C25" s="7">
        <v>13472</v>
      </c>
      <c r="D25" s="2" t="str">
        <f>"67.36%"</f>
        <v>67.36%</v>
      </c>
    </row>
    <row r="26" spans="1:4" x14ac:dyDescent="0.25">
      <c r="A26" t="str">
        <f>"10-6-10-3-30.12 Vault Time / Copies"</f>
        <v>10-6-10-3-30.12 Vault Time / Copies</v>
      </c>
      <c r="B26" s="7">
        <v>2500</v>
      </c>
      <c r="C26" s="7">
        <v>1554</v>
      </c>
      <c r="D26" s="2" t="str">
        <f>"62.16%"</f>
        <v>62.16%</v>
      </c>
    </row>
    <row r="27" spans="1:4" x14ac:dyDescent="0.25">
      <c r="A27" t="str">
        <f>"10-6-10-3-30.13 Certified Copies"</f>
        <v>10-6-10-3-30.13 Certified Copies</v>
      </c>
      <c r="B27" s="7">
        <v>3000</v>
      </c>
      <c r="C27" s="7">
        <v>968</v>
      </c>
      <c r="D27" s="2" t="str">
        <f>"32.27%"</f>
        <v>32.27%</v>
      </c>
    </row>
    <row r="28" spans="1:4" x14ac:dyDescent="0.25">
      <c r="A28" t="str">
        <f>"10-6-10-3-30.14 Marriage Licenses"</f>
        <v>10-6-10-3-30.14 Marriage Licenses</v>
      </c>
      <c r="B28" s="7">
        <v>250</v>
      </c>
      <c r="C28" s="7">
        <v>255</v>
      </c>
      <c r="D28" s="2" t="str">
        <f>"102.00%"</f>
        <v>102.00%</v>
      </c>
    </row>
    <row r="29" spans="1:4" x14ac:dyDescent="0.25">
      <c r="A29" t="str">
        <f>"10-6-10-3-30.15 Vehicle Registration Fees"</f>
        <v>10-6-10-3-30.15 Vehicle Registration Fees</v>
      </c>
      <c r="B29" s="7">
        <v>100</v>
      </c>
      <c r="C29" s="7">
        <v>21</v>
      </c>
      <c r="D29" s="2" t="str">
        <f>"21.00%"</f>
        <v>21.00%</v>
      </c>
    </row>
    <row r="30" spans="1:4" x14ac:dyDescent="0.25">
      <c r="A30" t="str">
        <f>"10-6-10-3-30.18 Cannabis fees"</f>
        <v>10-6-10-3-30.18 Cannabis fees</v>
      </c>
      <c r="B30" s="7">
        <v>100</v>
      </c>
      <c r="C30" s="7">
        <v>100</v>
      </c>
      <c r="D30" s="2" t="str">
        <f>"100.00%"</f>
        <v>100.00%</v>
      </c>
    </row>
    <row r="31" spans="1:4" x14ac:dyDescent="0.25">
      <c r="A31" s="11" t="s">
        <v>6</v>
      </c>
      <c r="B31" s="7">
        <f>SUM(B5:B30)</f>
        <v>2449217</v>
      </c>
      <c r="C31" s="7">
        <f>SUM(C5:C30)</f>
        <v>3428664.71</v>
      </c>
      <c r="D31" s="3">
        <f>C31/B31</f>
        <v>1.3999023810466773</v>
      </c>
    </row>
    <row r="33" spans="1:4" x14ac:dyDescent="0.25">
      <c r="A33" t="str">
        <f>"10-7-00-0-00.03 Transfer to Special Proje"</f>
        <v>10-7-00-0-00.03 Transfer to Special Proje</v>
      </c>
      <c r="B33" s="7">
        <v>0</v>
      </c>
      <c r="C33" s="7">
        <v>797037</v>
      </c>
      <c r="D33" s="2" t="str">
        <f>"100.00%"</f>
        <v>100.00%</v>
      </c>
    </row>
    <row r="34" spans="1:4" x14ac:dyDescent="0.25">
      <c r="A34" t="str">
        <f>"10-7-00-0-00.04 ARPA Interum"</f>
        <v>10-7-00-0-00.04 ARPA Interum</v>
      </c>
      <c r="B34" s="7">
        <v>0</v>
      </c>
      <c r="C34" s="7">
        <v>38051.15</v>
      </c>
      <c r="D34" s="2" t="str">
        <f>"100.00%"</f>
        <v>100.00%</v>
      </c>
    </row>
    <row r="35" spans="1:4" x14ac:dyDescent="0.25">
      <c r="A35" t="str">
        <f>"10-7-01-1-01.10 Misc Expense General"</f>
        <v>10-7-01-1-01.10 Misc Expense General</v>
      </c>
      <c r="B35" s="7">
        <v>0</v>
      </c>
      <c r="C35" s="7">
        <v>278.51</v>
      </c>
      <c r="D35" s="2" t="str">
        <f>"100.00%"</f>
        <v>100.00%</v>
      </c>
    </row>
    <row r="36" spans="1:4" x14ac:dyDescent="0.25">
      <c r="A36" t="str">
        <f>"10-7-10 TOWN ADMINISTRATION"</f>
        <v>10-7-10 TOWN ADMINISTRATION</v>
      </c>
      <c r="D36" s="2" t="str">
        <f>""</f>
        <v/>
      </c>
    </row>
    <row r="37" spans="1:4" x14ac:dyDescent="0.25">
      <c r="A37" t="str">
        <f>"10-7-10-0 PAYROLL &amp; BENEFITS"</f>
        <v>10-7-10-0 PAYROLL &amp; BENEFITS</v>
      </c>
      <c r="D37" s="2" t="str">
        <f>""</f>
        <v/>
      </c>
    </row>
    <row r="38" spans="1:4" x14ac:dyDescent="0.25">
      <c r="A38" t="str">
        <f>"10-7-10-0-10.00 Salaries Admin"</f>
        <v>10-7-10-0-10.00 Salaries Admin</v>
      </c>
      <c r="B38" s="7">
        <v>353108</v>
      </c>
      <c r="C38" s="7">
        <v>328100.82</v>
      </c>
      <c r="D38" s="2" t="str">
        <f>"92.92%"</f>
        <v>92.92%</v>
      </c>
    </row>
    <row r="39" spans="1:4" x14ac:dyDescent="0.25">
      <c r="A39" t="str">
        <f>"10-7-10-0-10.01 Salaries Del Tax Collecto"</f>
        <v>10-7-10-0-10.01 Salaries Del Tax Collecto</v>
      </c>
      <c r="B39" s="7">
        <v>10000</v>
      </c>
      <c r="C39" s="7">
        <v>2575.2800000000002</v>
      </c>
      <c r="D39" s="2" t="str">
        <f>"25.75%"</f>
        <v>25.75%</v>
      </c>
    </row>
    <row r="40" spans="1:4" x14ac:dyDescent="0.25">
      <c r="A40" t="str">
        <f>"10-7-10-0-10.03 Election  Expenses"</f>
        <v>10-7-10-0-10.03 Election  Expenses</v>
      </c>
      <c r="B40" s="7">
        <v>2500</v>
      </c>
      <c r="C40" s="7">
        <v>726.93</v>
      </c>
      <c r="D40" s="2" t="str">
        <f>"29.08%"</f>
        <v>29.08%</v>
      </c>
    </row>
    <row r="41" spans="1:4" x14ac:dyDescent="0.25">
      <c r="A41" t="str">
        <f>"10-7-10-0-10.05 Selectboard"</f>
        <v>10-7-10-0-10.05 Selectboard</v>
      </c>
      <c r="B41" s="7">
        <v>5000</v>
      </c>
      <c r="C41" s="7">
        <v>5000</v>
      </c>
      <c r="D41" s="2" t="str">
        <f>"100.00%"</f>
        <v>100.00%</v>
      </c>
    </row>
    <row r="42" spans="1:4" x14ac:dyDescent="0.25">
      <c r="A42" t="str">
        <f>"10-7-10-0-10.09 Petty Cash drawer short"</f>
        <v>10-7-10-0-10.09 Petty Cash drawer short</v>
      </c>
      <c r="B42" s="7">
        <v>0</v>
      </c>
      <c r="C42" s="7">
        <v>3.93</v>
      </c>
      <c r="D42" s="2" t="str">
        <f>"100.00%"</f>
        <v>100.00%</v>
      </c>
    </row>
    <row r="43" spans="1:4" x14ac:dyDescent="0.25">
      <c r="A43" t="str">
        <f>"10-7-10-0-10.30 Health Insurance Opt Out"</f>
        <v>10-7-10-0-10.30 Health Insurance Opt Out</v>
      </c>
      <c r="B43" s="7">
        <v>10000</v>
      </c>
      <c r="C43" s="7">
        <v>8692.41</v>
      </c>
      <c r="D43" s="2" t="str">
        <f>"86.92%"</f>
        <v>86.92%</v>
      </c>
    </row>
    <row r="44" spans="1:4" x14ac:dyDescent="0.25">
      <c r="A44" t="str">
        <f>"10-7-10-0-11.00 SS/Medicare Adm"</f>
        <v>10-7-10-0-11.00 SS/Medicare Adm</v>
      </c>
      <c r="B44" s="7">
        <v>29345</v>
      </c>
      <c r="C44" s="7">
        <v>27459.15</v>
      </c>
      <c r="D44" s="2" t="str">
        <f>"93.57%"</f>
        <v>93.57%</v>
      </c>
    </row>
    <row r="45" spans="1:4" x14ac:dyDescent="0.25">
      <c r="A45" t="str">
        <f>"10-7-10-0-11.01 Child Care Contribution A"</f>
        <v>10-7-10-0-11.01 Child Care Contribution A</v>
      </c>
      <c r="B45" s="7">
        <v>0</v>
      </c>
      <c r="C45" s="7">
        <v>1763.03</v>
      </c>
      <c r="D45" s="2" t="str">
        <f>"100.00%"</f>
        <v>100.00%</v>
      </c>
    </row>
    <row r="46" spans="1:4" x14ac:dyDescent="0.25">
      <c r="A46" t="str">
        <f>"10-7-10-0-12.00 VMERS Adm"</f>
        <v>10-7-10-0-12.00 VMERS Adm</v>
      </c>
      <c r="B46" s="7">
        <v>22646</v>
      </c>
      <c r="C46" s="7">
        <v>21769.68</v>
      </c>
      <c r="D46" s="2" t="str">
        <f>"96.13%"</f>
        <v>96.13%</v>
      </c>
    </row>
    <row r="47" spans="1:4" x14ac:dyDescent="0.25">
      <c r="A47" t="str">
        <f>"10-7-10-0-15.00 Health/Dental Ins Adm"</f>
        <v>10-7-10-0-15.00 Health/Dental Ins Adm</v>
      </c>
      <c r="B47" s="7">
        <v>23611</v>
      </c>
      <c r="C47" s="7">
        <v>31287.97</v>
      </c>
      <c r="D47" s="2" t="str">
        <f>"132.51%"</f>
        <v>132.51%</v>
      </c>
    </row>
    <row r="48" spans="1:4" x14ac:dyDescent="0.25">
      <c r="A48" t="str">
        <f>"10-7-10-0-15.01 Health Insurance HSA"</f>
        <v>10-7-10-0-15.01 Health Insurance HSA</v>
      </c>
      <c r="B48" s="7">
        <v>901</v>
      </c>
      <c r="C48" s="7">
        <v>528.85</v>
      </c>
      <c r="D48" s="2" t="str">
        <f>"58.70%"</f>
        <v>58.70%</v>
      </c>
    </row>
    <row r="49" spans="1:4" x14ac:dyDescent="0.25">
      <c r="A49" t="str">
        <f>"10-7-10-0-15.03 Long Term Disability"</f>
        <v>10-7-10-0-15.03 Long Term Disability</v>
      </c>
      <c r="B49" s="7">
        <v>1740</v>
      </c>
      <c r="C49" s="7">
        <v>1541.46</v>
      </c>
      <c r="D49" s="2" t="str">
        <f>"88.59%"</f>
        <v>88.59%</v>
      </c>
    </row>
    <row r="50" spans="1:4" x14ac:dyDescent="0.25">
      <c r="A50" t="str">
        <f>"10-7-10-0-15.04 Health Insurance Brooker"</f>
        <v>10-7-10-0-15.04 Health Insurance Brooker</v>
      </c>
      <c r="B50" s="7">
        <v>2500</v>
      </c>
      <c r="C50" s="7">
        <v>2060</v>
      </c>
      <c r="D50" s="2" t="str">
        <f>"82.40%"</f>
        <v>82.40%</v>
      </c>
    </row>
    <row r="51" spans="1:4" x14ac:dyDescent="0.25">
      <c r="A51" t="str">
        <f>"10-7-10-0-17.00 Recognitions/Awards"</f>
        <v>10-7-10-0-17.00 Recognitions/Awards</v>
      </c>
      <c r="B51" s="7">
        <v>2000</v>
      </c>
      <c r="C51" s="7">
        <v>3063.11</v>
      </c>
      <c r="D51" s="2" t="str">
        <f>"153.16%"</f>
        <v>153.16%</v>
      </c>
    </row>
    <row r="52" spans="1:4" x14ac:dyDescent="0.25">
      <c r="A52" t="str">
        <f>"10-7-10-1-20.00 Office Supplies"</f>
        <v>10-7-10-1-20.00 Office Supplies</v>
      </c>
      <c r="B52" s="7">
        <v>8000</v>
      </c>
      <c r="C52" s="7">
        <v>5658.88</v>
      </c>
      <c r="D52" s="2" t="str">
        <f>"70.74%"</f>
        <v>70.74%</v>
      </c>
    </row>
    <row r="53" spans="1:4" x14ac:dyDescent="0.25">
      <c r="A53" t="str">
        <f>"10-7-10-1-20.01 Recording Books"</f>
        <v>10-7-10-1-20.01 Recording Books</v>
      </c>
      <c r="B53" s="7">
        <v>3000</v>
      </c>
      <c r="C53" s="7">
        <v>2856.66</v>
      </c>
      <c r="D53" s="2" t="str">
        <f>"95.22%"</f>
        <v>95.22%</v>
      </c>
    </row>
    <row r="54" spans="1:4" x14ac:dyDescent="0.25">
      <c r="A54" t="str">
        <f>"10-7-10-1-21.00 Postage - Adm."</f>
        <v>10-7-10-1-21.00 Postage - Adm.</v>
      </c>
      <c r="B54" s="7">
        <v>9000</v>
      </c>
      <c r="C54" s="7">
        <v>5632.43</v>
      </c>
      <c r="D54" s="2" t="str">
        <f>"62.58%"</f>
        <v>62.58%</v>
      </c>
    </row>
    <row r="55" spans="1:4" x14ac:dyDescent="0.25">
      <c r="A55" t="str">
        <f>"10-7-10-1-22.00 Office Equipment"</f>
        <v>10-7-10-1-22.00 Office Equipment</v>
      </c>
      <c r="B55" s="7">
        <v>10000</v>
      </c>
      <c r="C55" s="7">
        <v>2697.09</v>
      </c>
      <c r="D55" s="2" t="str">
        <f>"26.97%"</f>
        <v>26.97%</v>
      </c>
    </row>
    <row r="56" spans="1:4" x14ac:dyDescent="0.25">
      <c r="A56" t="str">
        <f>"10-7-10-1-23.00 Web Site Administration"</f>
        <v>10-7-10-1-23.00 Web Site Administration</v>
      </c>
      <c r="B56" s="7">
        <v>4000</v>
      </c>
      <c r="C56" s="7">
        <v>3778.95</v>
      </c>
      <c r="D56" s="2" t="str">
        <f>"94.47%"</f>
        <v>94.47%</v>
      </c>
    </row>
    <row r="57" spans="1:4" x14ac:dyDescent="0.25">
      <c r="A57" t="str">
        <f>"10-7-10-1-24.00 Advertising - Adm."</f>
        <v>10-7-10-1-24.00 Advertising - Adm.</v>
      </c>
      <c r="B57" s="7">
        <v>3000</v>
      </c>
      <c r="C57" s="7">
        <v>3590.3</v>
      </c>
      <c r="D57" s="2" t="str">
        <f>"119.68%"</f>
        <v>119.68%</v>
      </c>
    </row>
    <row r="58" spans="1:4" x14ac:dyDescent="0.25">
      <c r="A58" t="str">
        <f>"10-7-10-1-25.03 Town Reports"</f>
        <v>10-7-10-1-25.03 Town Reports</v>
      </c>
      <c r="B58" s="7">
        <v>3000</v>
      </c>
      <c r="C58" s="7">
        <v>4944</v>
      </c>
      <c r="D58" s="2" t="str">
        <f>"164.80%"</f>
        <v>164.80%</v>
      </c>
    </row>
    <row r="59" spans="1:4" x14ac:dyDescent="0.25">
      <c r="A59" t="str">
        <f>"10-7-10-1-27.00 Training/Education"</f>
        <v>10-7-10-1-27.00 Training/Education</v>
      </c>
      <c r="B59" s="7">
        <v>5000</v>
      </c>
      <c r="C59" s="7">
        <v>769</v>
      </c>
      <c r="D59" s="2" t="str">
        <f>"15.38%"</f>
        <v>15.38%</v>
      </c>
    </row>
    <row r="60" spans="1:4" x14ac:dyDescent="0.25">
      <c r="A60" t="str">
        <f>"10-7-10-1-29.00 Travel - Adm."</f>
        <v>10-7-10-1-29.00 Travel - Adm.</v>
      </c>
      <c r="B60" s="7">
        <v>400</v>
      </c>
      <c r="C60" s="7">
        <v>408.1</v>
      </c>
      <c r="D60" s="2" t="str">
        <f>"102.03%"</f>
        <v>102.03%</v>
      </c>
    </row>
    <row r="61" spans="1:4" x14ac:dyDescent="0.25">
      <c r="A61" t="str">
        <f>"10-7-10-1-30.00 Telephone/Internet Adm"</f>
        <v>10-7-10-1-30.00 Telephone/Internet Adm</v>
      </c>
      <c r="B61" s="7">
        <v>9500</v>
      </c>
      <c r="C61" s="7">
        <v>6050.83</v>
      </c>
      <c r="D61" s="2" t="str">
        <f>"63.69%"</f>
        <v>63.69%</v>
      </c>
    </row>
    <row r="62" spans="1:4" x14ac:dyDescent="0.25">
      <c r="A62" t="str">
        <f>"10-7-10-1-30.01 Cell Phones - Admin"</f>
        <v>10-7-10-1-30.01 Cell Phones - Admin</v>
      </c>
      <c r="B62" s="7">
        <v>1000</v>
      </c>
      <c r="C62" s="7">
        <v>690.12</v>
      </c>
      <c r="D62" s="2" t="str">
        <f>"69.01%"</f>
        <v>69.01%</v>
      </c>
    </row>
    <row r="63" spans="1:4" x14ac:dyDescent="0.25">
      <c r="A63" t="str">
        <f>"10-7-10-1-42.00 Association Dues"</f>
        <v>10-7-10-1-42.00 Association Dues</v>
      </c>
      <c r="B63" s="7">
        <v>350</v>
      </c>
      <c r="C63" s="7">
        <v>185</v>
      </c>
      <c r="D63" s="2" t="str">
        <f>"52.86%"</f>
        <v>52.86%</v>
      </c>
    </row>
    <row r="64" spans="1:4" x14ac:dyDescent="0.25">
      <c r="A64" t="str">
        <f>"10-7-10-1-45.00 Contract Services Admin"</f>
        <v>10-7-10-1-45.00 Contract Services Admin</v>
      </c>
      <c r="B64" s="7">
        <v>8000</v>
      </c>
      <c r="C64" s="7">
        <v>16778.54</v>
      </c>
      <c r="D64" s="2" t="str">
        <f>"209.73%"</f>
        <v>209.73%</v>
      </c>
    </row>
    <row r="65" spans="1:4" x14ac:dyDescent="0.25">
      <c r="A65" t="str">
        <f>"10-7-10-1-45.02 Contract Services Animal"</f>
        <v>10-7-10-1-45.02 Contract Services Animal</v>
      </c>
      <c r="B65" s="7">
        <v>3000</v>
      </c>
      <c r="C65" s="7">
        <v>3240.09</v>
      </c>
      <c r="D65" s="2" t="str">
        <f>"108.00%"</f>
        <v>108.00%</v>
      </c>
    </row>
    <row r="66" spans="1:4" x14ac:dyDescent="0.25">
      <c r="A66" t="str">
        <f>"10-7-10-1-45.03 Contract Services Electio"</f>
        <v>10-7-10-1-45.03 Contract Services Electio</v>
      </c>
      <c r="B66" s="7">
        <v>8000</v>
      </c>
      <c r="C66" s="7">
        <v>1927</v>
      </c>
      <c r="D66" s="2" t="str">
        <f>"24.09%"</f>
        <v>24.09%</v>
      </c>
    </row>
    <row r="67" spans="1:4" x14ac:dyDescent="0.25">
      <c r="A67" t="str">
        <f>"10-7-10-1-45.05 Technology Support"</f>
        <v>10-7-10-1-45.05 Technology Support</v>
      </c>
      <c r="B67" s="7">
        <v>28000</v>
      </c>
      <c r="C67" s="7">
        <v>32344.6</v>
      </c>
      <c r="D67" s="2" t="str">
        <f>"115.52%_x000C_"</f>
        <v>115.52%_x000C_</v>
      </c>
    </row>
    <row r="68" spans="1:4" x14ac:dyDescent="0.25">
      <c r="A68" t="str">
        <f>"10-7-10-1-45.06 Technology Equipment"</f>
        <v>10-7-10-1-45.06 Technology Equipment</v>
      </c>
      <c r="B68" s="7">
        <v>4000</v>
      </c>
      <c r="C68" s="7">
        <v>2616.4699999999998</v>
      </c>
      <c r="D68" s="2" t="str">
        <f>"65.41%"</f>
        <v>65.41%</v>
      </c>
    </row>
    <row r="69" spans="1:4" x14ac:dyDescent="0.25">
      <c r="A69" t="str">
        <f>"10-7-10-1-45.07 Contracted Grounds Maint."</f>
        <v>10-7-10-1-45.07 Contracted Grounds Maint.</v>
      </c>
      <c r="B69" s="7">
        <v>35000</v>
      </c>
      <c r="C69" s="7">
        <v>28472</v>
      </c>
      <c r="D69" s="2" t="str">
        <f>"81.35%"</f>
        <v>81.35%</v>
      </c>
    </row>
    <row r="70" spans="1:4" x14ac:dyDescent="0.25">
      <c r="A70" t="str">
        <f>"10-7-10-1-45.08 Community Well Being"</f>
        <v>10-7-10-1-45.08 Community Well Being</v>
      </c>
      <c r="B70" s="7">
        <v>5000</v>
      </c>
      <c r="C70" s="7">
        <v>3000</v>
      </c>
      <c r="D70" s="2" t="str">
        <f>"60.00%"</f>
        <v>60.00%</v>
      </c>
    </row>
    <row r="71" spans="1:4" x14ac:dyDescent="0.25">
      <c r="A71" t="str">
        <f>"10-7-10-2-31.00 Heat"</f>
        <v>10-7-10-2-31.00 Heat</v>
      </c>
      <c r="B71" s="7">
        <v>10500</v>
      </c>
      <c r="C71" s="7">
        <v>9178.86</v>
      </c>
      <c r="D71" s="2" t="str">
        <f>"87.42%"</f>
        <v>87.42%</v>
      </c>
    </row>
    <row r="72" spans="1:4" x14ac:dyDescent="0.25">
      <c r="A72" t="str">
        <f>"10-7-10-2-32.00 Electricity"</f>
        <v>10-7-10-2-32.00 Electricity</v>
      </c>
      <c r="B72" s="7">
        <v>13500</v>
      </c>
      <c r="C72" s="7">
        <v>11875.38</v>
      </c>
      <c r="D72" s="2" t="str">
        <f>"87.97%"</f>
        <v>87.97%</v>
      </c>
    </row>
    <row r="73" spans="1:4" x14ac:dyDescent="0.25">
      <c r="A73" t="str">
        <f>"10-7-10-2-33.00 Water and Sewer"</f>
        <v>10-7-10-2-33.00 Water and Sewer</v>
      </c>
      <c r="B73" s="7">
        <v>8000</v>
      </c>
      <c r="C73" s="7">
        <v>4307.6000000000004</v>
      </c>
      <c r="D73" s="2" t="str">
        <f>"53.85%"</f>
        <v>53.85%</v>
      </c>
    </row>
    <row r="74" spans="1:4" x14ac:dyDescent="0.25">
      <c r="A74" t="str">
        <f>"10-7-10-2-34.00 Trash Removal"</f>
        <v>10-7-10-2-34.00 Trash Removal</v>
      </c>
      <c r="B74" s="7">
        <v>2500</v>
      </c>
      <c r="C74" s="7">
        <v>2215.87</v>
      </c>
      <c r="D74" s="2" t="str">
        <f>"88.63%"</f>
        <v>88.63%</v>
      </c>
    </row>
    <row r="75" spans="1:4" x14ac:dyDescent="0.25">
      <c r="A75" t="str">
        <f>"10-7-10-2-43.01 Fire Protection"</f>
        <v>10-7-10-2-43.01 Fire Protection</v>
      </c>
      <c r="B75" s="7">
        <v>55000</v>
      </c>
      <c r="C75" s="7">
        <v>50681</v>
      </c>
      <c r="D75" s="2" t="str">
        <f>"92.15%"</f>
        <v>92.15%</v>
      </c>
    </row>
    <row r="76" spans="1:4" x14ac:dyDescent="0.25">
      <c r="A76" t="str">
        <f>"10-7-10-2-62.00 Building Maintenance"</f>
        <v>10-7-10-2-62.00 Building Maintenance</v>
      </c>
      <c r="B76" s="7">
        <v>15000</v>
      </c>
      <c r="C76" s="7">
        <v>33977.910000000003</v>
      </c>
      <c r="D76" s="2" t="str">
        <f>"226.52%"</f>
        <v>226.52%</v>
      </c>
    </row>
    <row r="77" spans="1:4" x14ac:dyDescent="0.25">
      <c r="A77" t="str">
        <f>"10-7-10-2-62.01 Landscaping &amp; Tree Maint"</f>
        <v>10-7-10-2-62.01 Landscaping &amp; Tree Maint</v>
      </c>
      <c r="B77" s="7">
        <v>1500</v>
      </c>
      <c r="C77" s="7">
        <v>464.82</v>
      </c>
      <c r="D77" s="2" t="str">
        <f>"30.99%"</f>
        <v>30.99%</v>
      </c>
    </row>
    <row r="78" spans="1:4" x14ac:dyDescent="0.25">
      <c r="A78" t="str">
        <f>"10-7-10-3-20.01 Late Fees - Credit Card"</f>
        <v>10-7-10-3-20.01 Late Fees - Credit Card</v>
      </c>
      <c r="B78" s="7">
        <v>0</v>
      </c>
      <c r="C78" s="7">
        <v>99.55</v>
      </c>
      <c r="D78" s="2" t="str">
        <f>"100.00%"</f>
        <v>100.00%</v>
      </c>
    </row>
    <row r="79" spans="1:4" x14ac:dyDescent="0.25">
      <c r="A79" t="str">
        <f>"10-7-10-3-42.01 VLCT Membership Dues"</f>
        <v>10-7-10-3-42.01 VLCT Membership Dues</v>
      </c>
      <c r="B79" s="7">
        <v>6797</v>
      </c>
      <c r="C79" s="7">
        <v>6797</v>
      </c>
      <c r="D79" s="2" t="str">
        <f>"100.00%"</f>
        <v>100.00%</v>
      </c>
    </row>
    <row r="80" spans="1:4" x14ac:dyDescent="0.25">
      <c r="A80" t="str">
        <f>"10-7-10-3-43.00 Legal"</f>
        <v>10-7-10-3-43.00 Legal</v>
      </c>
      <c r="B80" s="7">
        <v>30000</v>
      </c>
      <c r="C80" s="7">
        <v>30099.94</v>
      </c>
      <c r="D80" s="2" t="str">
        <f>"100.33%"</f>
        <v>100.33%</v>
      </c>
    </row>
    <row r="81" spans="1:4" x14ac:dyDescent="0.25">
      <c r="A81" t="str">
        <f>"10-7-10-3-44.00 Independent Auditors"</f>
        <v>10-7-10-3-44.00 Independent Auditors</v>
      </c>
      <c r="B81" s="7">
        <v>13000</v>
      </c>
      <c r="C81" s="7">
        <v>5566.66</v>
      </c>
      <c r="D81" s="2" t="str">
        <f>"42.82%"</f>
        <v>42.82%</v>
      </c>
    </row>
    <row r="82" spans="1:4" x14ac:dyDescent="0.25">
      <c r="A82" t="str">
        <f>"10-7-10-3-46.00 Engineering Review"</f>
        <v>10-7-10-3-46.00 Engineering Review</v>
      </c>
      <c r="B82" s="7">
        <v>1500</v>
      </c>
      <c r="C82" s="7">
        <v>0</v>
      </c>
      <c r="D82" s="2" t="str">
        <f>"0.00%"</f>
        <v>0.00%</v>
      </c>
    </row>
    <row r="83" spans="1:4" x14ac:dyDescent="0.25">
      <c r="A83" t="str">
        <f>"10-7-10-3-48.00 General/PACIF Insurance"</f>
        <v>10-7-10-3-48.00 General/PACIF Insurance</v>
      </c>
      <c r="B83" s="7">
        <v>19280</v>
      </c>
      <c r="C83" s="7">
        <v>15357.7</v>
      </c>
      <c r="D83" s="2" t="str">
        <f>"79.66%"</f>
        <v>79.66%</v>
      </c>
    </row>
    <row r="84" spans="1:4" x14ac:dyDescent="0.25">
      <c r="A84" t="str">
        <f>"10-7-10-3-48.01 Town Center Insurance"</f>
        <v>10-7-10-3-48.01 Town Center Insurance</v>
      </c>
      <c r="B84" s="7">
        <v>8155</v>
      </c>
      <c r="C84" s="7">
        <v>9216.7800000000007</v>
      </c>
      <c r="D84" s="2" t="str">
        <f>"113.02%"</f>
        <v>113.02%</v>
      </c>
    </row>
    <row r="85" spans="1:4" x14ac:dyDescent="0.25">
      <c r="A85" t="str">
        <f>"10-7-10-3-80.00 County Tax"</f>
        <v>10-7-10-3-80.00 County Tax</v>
      </c>
      <c r="B85" s="7">
        <v>27000</v>
      </c>
      <c r="C85" s="7">
        <v>30315</v>
      </c>
      <c r="D85" s="2" t="str">
        <f>"112.28%"</f>
        <v>112.28%</v>
      </c>
    </row>
    <row r="86" spans="1:4" x14ac:dyDescent="0.25">
      <c r="A86" t="str">
        <f>"10-7-10-3-80.03 Emergency Management"</f>
        <v>10-7-10-3-80.03 Emergency Management</v>
      </c>
      <c r="B86" s="7">
        <v>500</v>
      </c>
      <c r="C86" s="7">
        <v>0</v>
      </c>
      <c r="D86" s="2" t="str">
        <f>"0.00%"</f>
        <v>0.00%</v>
      </c>
    </row>
    <row r="87" spans="1:4" x14ac:dyDescent="0.25">
      <c r="A87" t="str">
        <f>"10-8-90-5-95.03 Flags"</f>
        <v>10-8-90-5-95.03 Flags</v>
      </c>
      <c r="B87" s="7">
        <v>1000</v>
      </c>
      <c r="C87" s="7">
        <v>369</v>
      </c>
      <c r="D87" s="2" t="str">
        <f>"36.90%"</f>
        <v>36.90%</v>
      </c>
    </row>
    <row r="88" spans="1:4" x14ac:dyDescent="0.25">
      <c r="A88" t="str">
        <f>"10-8-90-5-95.04 GBIC"</f>
        <v>10-8-90-5-95.04 GBIC</v>
      </c>
      <c r="B88" s="7">
        <v>200</v>
      </c>
      <c r="C88" s="7">
        <v>200</v>
      </c>
      <c r="D88" s="2" t="str">
        <f>"100.00%"</f>
        <v>100.00%</v>
      </c>
    </row>
    <row r="89" spans="1:4" x14ac:dyDescent="0.25">
      <c r="A89" t="str">
        <f>"10-8-90-5-95.06 MMCTV"</f>
        <v>10-8-90-5-95.06 MMCTV</v>
      </c>
      <c r="B89" s="7">
        <v>5000</v>
      </c>
      <c r="C89" s="7">
        <v>0</v>
      </c>
      <c r="D89" s="2" t="str">
        <f>"0.00%"</f>
        <v>0.00%</v>
      </c>
    </row>
    <row r="90" spans="1:4" x14ac:dyDescent="0.25">
      <c r="A90" s="11" t="s">
        <v>7</v>
      </c>
      <c r="B90" s="7">
        <f>SUM(B38:B89)</f>
        <v>829033</v>
      </c>
      <c r="C90" s="7">
        <f>SUM(C38:C89)</f>
        <v>770935.75</v>
      </c>
      <c r="D90" s="1">
        <f>C90/B90</f>
        <v>0.9299216677743829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8539C-C1A1-40A0-B624-1F5C51599915}">
  <dimension ref="A1:D11"/>
  <sheetViews>
    <sheetView workbookViewId="0">
      <selection sqref="A1:XFD4"/>
    </sheetView>
  </sheetViews>
  <sheetFormatPr defaultRowHeight="15" x14ac:dyDescent="0.25"/>
  <cols>
    <col min="1" max="1" width="38.140625" customWidth="1"/>
    <col min="2" max="3" width="9.140625" style="7"/>
  </cols>
  <sheetData>
    <row r="1" spans="1:4" x14ac:dyDescent="0.25">
      <c r="A1" t="s">
        <v>0</v>
      </c>
      <c r="D1" s="2"/>
    </row>
    <row r="2" spans="1:4" x14ac:dyDescent="0.25">
      <c r="A2" t="s">
        <v>1</v>
      </c>
      <c r="D2" s="2"/>
    </row>
    <row r="3" spans="1:4" x14ac:dyDescent="0.25">
      <c r="D3" s="2" t="s">
        <v>2</v>
      </c>
    </row>
    <row r="4" spans="1:4" x14ac:dyDescent="0.25">
      <c r="B4" s="8" t="s">
        <v>3</v>
      </c>
      <c r="C4" s="8" t="s">
        <v>2</v>
      </c>
      <c r="D4" s="2" t="s">
        <v>4</v>
      </c>
    </row>
    <row r="5" spans="1:4" x14ac:dyDescent="0.25">
      <c r="A5" t="str">
        <f>"10-6-02-2-10.10 Act 60 Reappraisal Grant"</f>
        <v>10-6-02-2-10.10 Act 60 Reappraisal Grant</v>
      </c>
      <c r="B5" s="7">
        <v>15000</v>
      </c>
      <c r="C5" s="7">
        <v>15172.5</v>
      </c>
      <c r="D5" s="2" t="str">
        <f>"101.15%"</f>
        <v>101.15%</v>
      </c>
    </row>
    <row r="6" spans="1:4" x14ac:dyDescent="0.25">
      <c r="D6" s="2"/>
    </row>
    <row r="7" spans="1:4" x14ac:dyDescent="0.25">
      <c r="A7" t="str">
        <f>"10-7-12-1-20.00 Listers Office Supplies"</f>
        <v>10-7-12-1-20.00 Listers Office Supplies</v>
      </c>
      <c r="B7" s="7">
        <v>0</v>
      </c>
      <c r="C7" s="7">
        <v>215</v>
      </c>
      <c r="D7" s="2" t="str">
        <f>"100.00%"</f>
        <v>100.00%</v>
      </c>
    </row>
    <row r="8" spans="1:4" x14ac:dyDescent="0.25">
      <c r="A8" t="str">
        <f>"10-7-12-1-45.00 Contract Services for Lis"</f>
        <v>10-7-12-1-45.00 Contract Services for Lis</v>
      </c>
      <c r="B8" s="7">
        <v>32000</v>
      </c>
      <c r="C8" s="7">
        <v>10200.74</v>
      </c>
      <c r="D8" s="2" t="str">
        <f>"31.88%"</f>
        <v>31.88%</v>
      </c>
    </row>
    <row r="9" spans="1:4" x14ac:dyDescent="0.25">
      <c r="A9" t="str">
        <f>"10-7-12-3-47.00 Tax Map Maintenance"</f>
        <v>10-7-12-3-47.00 Tax Map Maintenance</v>
      </c>
      <c r="B9" s="7">
        <v>1500</v>
      </c>
      <c r="C9" s="7">
        <v>0</v>
      </c>
      <c r="D9" s="2" t="str">
        <f>"0.00%"</f>
        <v>0.00%</v>
      </c>
    </row>
    <row r="10" spans="1:4" x14ac:dyDescent="0.25">
      <c r="A10" t="str">
        <f>"10-7-90-1-91.00 Reappraisal Reserve"</f>
        <v>10-7-90-1-91.00 Reappraisal Reserve</v>
      </c>
      <c r="B10" s="7">
        <v>15000</v>
      </c>
      <c r="C10" s="7">
        <v>15000</v>
      </c>
      <c r="D10" s="2" t="str">
        <f>"100.00%"</f>
        <v>100.00%</v>
      </c>
    </row>
    <row r="11" spans="1:4" x14ac:dyDescent="0.25">
      <c r="A11" s="11" t="s">
        <v>7</v>
      </c>
      <c r="B11" s="7">
        <f>SUM(B7:B10)</f>
        <v>48500</v>
      </c>
      <c r="C11" s="7">
        <f>SUM(C7:C10)</f>
        <v>25415.739999999998</v>
      </c>
      <c r="D11" s="1">
        <f>C11/B11</f>
        <v>0.52403587628865977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121E9-B32A-4ABC-A1BF-B7FB6A62D86D}">
  <dimension ref="A1:D30"/>
  <sheetViews>
    <sheetView workbookViewId="0">
      <selection sqref="A1:XFD4"/>
    </sheetView>
  </sheetViews>
  <sheetFormatPr defaultRowHeight="15" x14ac:dyDescent="0.25"/>
  <cols>
    <col min="1" max="1" width="41" customWidth="1"/>
    <col min="2" max="2" width="19.5703125" style="7" customWidth="1"/>
    <col min="3" max="3" width="14.7109375" style="7" customWidth="1"/>
    <col min="4" max="4" width="15" customWidth="1"/>
  </cols>
  <sheetData>
    <row r="1" spans="1:4" x14ac:dyDescent="0.25">
      <c r="A1" t="s">
        <v>0</v>
      </c>
      <c r="D1" s="2"/>
    </row>
    <row r="2" spans="1:4" x14ac:dyDescent="0.25">
      <c r="A2" t="s">
        <v>1</v>
      </c>
      <c r="D2" s="2"/>
    </row>
    <row r="3" spans="1:4" x14ac:dyDescent="0.25">
      <c r="D3" s="2" t="s">
        <v>2</v>
      </c>
    </row>
    <row r="4" spans="1:4" x14ac:dyDescent="0.25">
      <c r="B4" s="8" t="s">
        <v>3</v>
      </c>
      <c r="C4" s="8" t="s">
        <v>2</v>
      </c>
      <c r="D4" s="2" t="s">
        <v>4</v>
      </c>
    </row>
    <row r="5" spans="1:4" x14ac:dyDescent="0.25">
      <c r="A5" t="str">
        <f>"10-6-10-1-01.11 Zoning Permits/Hearing Fe"</f>
        <v>10-6-10-1-01.11 Zoning Permits/Hearing Fe</v>
      </c>
      <c r="B5" s="7">
        <v>35000</v>
      </c>
      <c r="C5" s="7">
        <v>16760.3</v>
      </c>
      <c r="D5" s="2" t="str">
        <f>"47.89%"</f>
        <v>47.89%</v>
      </c>
    </row>
    <row r="7" spans="1:4" x14ac:dyDescent="0.25">
      <c r="A7" t="str">
        <f>"10-7-15 Planning and Zoning"</f>
        <v>10-7-15 Planning and Zoning</v>
      </c>
      <c r="D7" s="2" t="str">
        <f>""</f>
        <v/>
      </c>
    </row>
    <row r="8" spans="1:4" x14ac:dyDescent="0.25">
      <c r="A8" t="str">
        <f>"10-7-15-0-10.00 Salaries PZ"</f>
        <v>10-7-15-0-10.00 Salaries PZ</v>
      </c>
      <c r="B8" s="7">
        <v>147139</v>
      </c>
      <c r="C8" s="7">
        <v>130340.36</v>
      </c>
      <c r="D8" s="2" t="str">
        <f>"88.58%"</f>
        <v>88.58%</v>
      </c>
    </row>
    <row r="9" spans="1:4" x14ac:dyDescent="0.25">
      <c r="A9" t="str">
        <f>"10-7-15-0-10.01 Overtime PZ"</f>
        <v>10-7-15-0-10.01 Overtime PZ</v>
      </c>
      <c r="B9" s="7">
        <v>1000</v>
      </c>
      <c r="C9" s="7">
        <v>0</v>
      </c>
      <c r="D9" s="2" t="str">
        <f>"0.00%"</f>
        <v>0.00%</v>
      </c>
    </row>
    <row r="10" spans="1:4" x14ac:dyDescent="0.25">
      <c r="A10" t="str">
        <f>"10-7-15-0-11.00 SS/Medicare PZ"</f>
        <v>10-7-15-0-11.00 SS/Medicare PZ</v>
      </c>
      <c r="B10" s="7">
        <v>11407</v>
      </c>
      <c r="C10" s="7">
        <v>9384.85</v>
      </c>
      <c r="D10" s="2" t="str">
        <f>"82.27%"</f>
        <v>82.27%</v>
      </c>
    </row>
    <row r="11" spans="1:4" x14ac:dyDescent="0.25">
      <c r="A11" t="str">
        <f>"10-7-15-0-11.01 Child Care Contributi PZ"</f>
        <v>10-7-15-0-11.01 Child Care Contributi PZ</v>
      </c>
      <c r="B11" s="7">
        <v>0</v>
      </c>
      <c r="C11" s="7">
        <v>512.25</v>
      </c>
      <c r="D11" s="2" t="str">
        <f>"100.00%"</f>
        <v>100.00%</v>
      </c>
    </row>
    <row r="12" spans="1:4" x14ac:dyDescent="0.25">
      <c r="A12" t="str">
        <f>"10-7-15-0-12.00 VMERS PZ"</f>
        <v>10-7-15-0-12.00 VMERS PZ</v>
      </c>
      <c r="B12" s="7">
        <v>10367</v>
      </c>
      <c r="C12" s="7">
        <v>9074.4</v>
      </c>
      <c r="D12" s="2" t="str">
        <f>"87.53%"</f>
        <v>87.53%</v>
      </c>
    </row>
    <row r="13" spans="1:4" x14ac:dyDescent="0.25">
      <c r="A13" t="str">
        <f>"10-7-15-0-15.00 Health/Dental Ins PZ"</f>
        <v>10-7-15-0-15.00 Health/Dental Ins PZ</v>
      </c>
      <c r="B13" s="7">
        <v>59124</v>
      </c>
      <c r="C13" s="7">
        <v>57537.37</v>
      </c>
      <c r="D13" s="2" t="str">
        <f>"97.32%"</f>
        <v>97.32%</v>
      </c>
    </row>
    <row r="14" spans="1:4" x14ac:dyDescent="0.25">
      <c r="A14" t="str">
        <f>"10-7-15-0-15.02 Health Insurance HSA"</f>
        <v>10-7-15-0-15.02 Health Insurance HSA</v>
      </c>
      <c r="B14" s="7">
        <v>0</v>
      </c>
      <c r="C14" s="7">
        <v>214.73</v>
      </c>
      <c r="D14" s="2" t="str">
        <f>"100.00%"</f>
        <v>100.00%</v>
      </c>
    </row>
    <row r="15" spans="1:4" x14ac:dyDescent="0.25">
      <c r="A15" t="str">
        <f>"10-7-15-0-15.03 PZ Long Term Disability"</f>
        <v>10-7-15-0-15.03 PZ Long Term Disability</v>
      </c>
      <c r="B15" s="7">
        <v>900</v>
      </c>
      <c r="C15" s="7">
        <v>851.16</v>
      </c>
      <c r="D15" s="2" t="str">
        <f>"94.57%"</f>
        <v>94.57%</v>
      </c>
    </row>
    <row r="16" spans="1:4" x14ac:dyDescent="0.25">
      <c r="A16" t="str">
        <f>"10-7-15-0-15.04 Internship Stipend"</f>
        <v>10-7-15-0-15.04 Internship Stipend</v>
      </c>
      <c r="B16" s="7">
        <v>2000</v>
      </c>
      <c r="C16" s="7">
        <v>0</v>
      </c>
      <c r="D16" s="2" t="str">
        <f>"0.00%"</f>
        <v>0.00%</v>
      </c>
    </row>
    <row r="17" spans="1:4" x14ac:dyDescent="0.25">
      <c r="A17" t="str">
        <f>"10-7-15-1-20.00 PZ Office Supplies"</f>
        <v>10-7-15-1-20.00 PZ Office Supplies</v>
      </c>
      <c r="B17" s="7">
        <v>1500</v>
      </c>
      <c r="C17" s="7">
        <v>1091.82</v>
      </c>
      <c r="D17" s="2" t="str">
        <f>"72.79%_x000C_"</f>
        <v>72.79%_x000C_</v>
      </c>
    </row>
    <row r="18" spans="1:4" x14ac:dyDescent="0.25">
      <c r="A18" t="str">
        <f>"10-7-15-1-20.01 Office Equipment"</f>
        <v>10-7-15-1-20.01 Office Equipment</v>
      </c>
      <c r="B18" s="7">
        <v>1500</v>
      </c>
      <c r="C18" s="7">
        <v>2990.03</v>
      </c>
      <c r="D18" s="2" t="str">
        <f>"199.34%"</f>
        <v>199.34%</v>
      </c>
    </row>
    <row r="19" spans="1:4" x14ac:dyDescent="0.25">
      <c r="A19" t="str">
        <f>"10-7-15-1-20.02 Cell Phones - PZ"</f>
        <v>10-7-15-1-20.02 Cell Phones - PZ</v>
      </c>
      <c r="B19" s="7">
        <v>1000</v>
      </c>
      <c r="C19" s="7">
        <v>970.48</v>
      </c>
      <c r="D19" s="2" t="str">
        <f>"97.05%"</f>
        <v>97.05%</v>
      </c>
    </row>
    <row r="20" spans="1:4" x14ac:dyDescent="0.25">
      <c r="A20" t="str">
        <f>"10-7-15-1-21.00 PZ Postage"</f>
        <v>10-7-15-1-21.00 PZ Postage</v>
      </c>
      <c r="B20" s="7">
        <v>500</v>
      </c>
      <c r="C20" s="7">
        <v>0</v>
      </c>
      <c r="D20" s="2" t="str">
        <f>"0.00%"</f>
        <v>0.00%</v>
      </c>
    </row>
    <row r="21" spans="1:4" x14ac:dyDescent="0.25">
      <c r="A21" t="str">
        <f>"10-7-15-1-24.00 PZ Advertising"</f>
        <v>10-7-15-1-24.00 PZ Advertising</v>
      </c>
      <c r="B21" s="7">
        <v>3000</v>
      </c>
      <c r="C21" s="7">
        <v>1600.04</v>
      </c>
      <c r="D21" s="2" t="str">
        <f>"53.33%"</f>
        <v>53.33%</v>
      </c>
    </row>
    <row r="22" spans="1:4" x14ac:dyDescent="0.25">
      <c r="A22" t="str">
        <f>"10-7-15-1-27.00 PZ Training"</f>
        <v>10-7-15-1-27.00 PZ Training</v>
      </c>
      <c r="B22" s="7">
        <v>2500</v>
      </c>
      <c r="C22" s="7">
        <v>1094</v>
      </c>
      <c r="D22" s="2" t="str">
        <f>"43.76%"</f>
        <v>43.76%</v>
      </c>
    </row>
    <row r="23" spans="1:4" x14ac:dyDescent="0.25">
      <c r="A23" t="str">
        <f>"10-7-15-1-29.00 PZ Travel"</f>
        <v>10-7-15-1-29.00 PZ Travel</v>
      </c>
      <c r="B23" s="7">
        <v>250</v>
      </c>
      <c r="C23" s="7">
        <v>276.92</v>
      </c>
      <c r="D23" s="2" t="str">
        <f>"110.77%"</f>
        <v>110.77%</v>
      </c>
    </row>
    <row r="24" spans="1:4" x14ac:dyDescent="0.25">
      <c r="A24" t="str">
        <f>"10-7-15-1-42.00 PZ Association Dues"</f>
        <v>10-7-15-1-42.00 PZ Association Dues</v>
      </c>
      <c r="B24" s="7">
        <v>750</v>
      </c>
      <c r="C24" s="7">
        <v>360</v>
      </c>
      <c r="D24" s="2" t="str">
        <f>"48.00%"</f>
        <v>48.00%</v>
      </c>
    </row>
    <row r="25" spans="1:4" x14ac:dyDescent="0.25">
      <c r="A25" t="str">
        <f>"10-7-15-1-43.01 Transportation planning"</f>
        <v>10-7-15-1-43.01 Transportation planning</v>
      </c>
      <c r="B25" s="7">
        <v>10000</v>
      </c>
      <c r="C25" s="7">
        <v>3326.52</v>
      </c>
      <c r="D25" s="2" t="str">
        <f>"33.27%"</f>
        <v>33.27%</v>
      </c>
    </row>
    <row r="26" spans="1:4" x14ac:dyDescent="0.25">
      <c r="A26" t="str">
        <f>"10-7-15-1-45.00 PZ Contract Services"</f>
        <v>10-7-15-1-45.00 PZ Contract Services</v>
      </c>
      <c r="B26" s="7">
        <v>5000</v>
      </c>
      <c r="C26" s="7">
        <v>0</v>
      </c>
      <c r="D26" s="2" t="str">
        <f>"0.00%"</f>
        <v>0.00%</v>
      </c>
    </row>
    <row r="27" spans="1:4" x14ac:dyDescent="0.25">
      <c r="A27" t="str">
        <f>"10-7-15-3-43.01 Engineering PZ"</f>
        <v>10-7-15-3-43.01 Engineering PZ</v>
      </c>
      <c r="B27" s="7">
        <v>2000</v>
      </c>
      <c r="C27" s="7">
        <v>0</v>
      </c>
      <c r="D27" s="2" t="str">
        <f>"0.00%"</f>
        <v>0.00%</v>
      </c>
    </row>
    <row r="28" spans="1:4" x14ac:dyDescent="0.25">
      <c r="A28" t="str">
        <f>"10-7-15-3-43.02 Legal Reserve PZ"</f>
        <v>10-7-15-3-43.02 Legal Reserve PZ</v>
      </c>
      <c r="B28" s="7">
        <v>10000</v>
      </c>
      <c r="C28" s="7">
        <v>10000</v>
      </c>
      <c r="D28" s="2" t="str">
        <f>"100.00%"</f>
        <v>100.00%</v>
      </c>
    </row>
    <row r="29" spans="1:4" x14ac:dyDescent="0.25">
      <c r="A29" t="str">
        <f>"10-8-90-5-95.08 Regional Planning"</f>
        <v>10-8-90-5-95.08 Regional Planning</v>
      </c>
      <c r="B29" s="7">
        <v>6335</v>
      </c>
      <c r="C29" s="7">
        <v>6335</v>
      </c>
      <c r="D29" s="2" t="str">
        <f>"100.00%"</f>
        <v>100.00%</v>
      </c>
    </row>
    <row r="30" spans="1:4" x14ac:dyDescent="0.25">
      <c r="A30" s="11" t="s">
        <v>7</v>
      </c>
      <c r="B30" s="7">
        <f>SUM(B8:B29)</f>
        <v>276272</v>
      </c>
      <c r="C30" s="7">
        <f>SUM(C8:C29)</f>
        <v>235959.93000000002</v>
      </c>
      <c r="D30" s="3">
        <f>C30/B30</f>
        <v>0.85408557508542315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3343C-62C1-49C7-B1E5-7177B6503DC6}">
  <dimension ref="A1:D49"/>
  <sheetViews>
    <sheetView topLeftCell="A31" workbookViewId="0">
      <selection activeCell="C32" sqref="C32"/>
    </sheetView>
  </sheetViews>
  <sheetFormatPr defaultRowHeight="15" x14ac:dyDescent="0.25"/>
  <cols>
    <col min="1" max="1" width="44.28515625" customWidth="1"/>
    <col min="2" max="2" width="19" style="7" customWidth="1"/>
    <col min="3" max="3" width="16.140625" style="7" customWidth="1"/>
    <col min="4" max="4" width="13.28515625" customWidth="1"/>
  </cols>
  <sheetData>
    <row r="1" spans="1:4" x14ac:dyDescent="0.25">
      <c r="A1" t="s">
        <v>0</v>
      </c>
      <c r="D1" s="2"/>
    </row>
    <row r="2" spans="1:4" x14ac:dyDescent="0.25">
      <c r="A2" t="s">
        <v>1</v>
      </c>
      <c r="D2" s="2"/>
    </row>
    <row r="3" spans="1:4" x14ac:dyDescent="0.25">
      <c r="D3" s="2" t="s">
        <v>2</v>
      </c>
    </row>
    <row r="4" spans="1:4" x14ac:dyDescent="0.25">
      <c r="B4" s="8" t="s">
        <v>3</v>
      </c>
      <c r="C4" s="8" t="s">
        <v>2</v>
      </c>
      <c r="D4" s="2" t="s">
        <v>4</v>
      </c>
    </row>
    <row r="5" spans="1:4" x14ac:dyDescent="0.25">
      <c r="A5" t="str">
        <f>"10-6-20-2-01.10 PD Local Fines"</f>
        <v>10-6-20-2-01.10 PD Local Fines</v>
      </c>
      <c r="B5" s="7">
        <v>5000</v>
      </c>
      <c r="C5" s="7">
        <v>2035</v>
      </c>
      <c r="D5" s="2" t="str">
        <f>"40.70%"</f>
        <v>40.70%</v>
      </c>
    </row>
    <row r="6" spans="1:4" x14ac:dyDescent="0.25">
      <c r="A6" t="str">
        <f>"10-6-20-2-02.10 PD Receipts"</f>
        <v>10-6-20-2-02.10 PD Receipts</v>
      </c>
      <c r="B6" s="7">
        <v>500</v>
      </c>
      <c r="C6" s="7">
        <v>275</v>
      </c>
      <c r="D6" s="2" t="str">
        <f>"55.00%"</f>
        <v>55.00%</v>
      </c>
    </row>
    <row r="7" spans="1:4" x14ac:dyDescent="0.25">
      <c r="A7" t="str">
        <f>"10-6-20-2-04.00 PD short term contrac"</f>
        <v>10-6-20-2-04.00 PD short term contrac</v>
      </c>
      <c r="B7" s="7">
        <v>250</v>
      </c>
      <c r="C7" s="7">
        <v>0</v>
      </c>
      <c r="D7" s="2" t="str">
        <f>"0.00%"</f>
        <v>0.00%</v>
      </c>
    </row>
    <row r="8" spans="1:4" x14ac:dyDescent="0.25">
      <c r="A8" t="str">
        <f>"10-6-20-2-20.11 PD Uniform Traffic Ticket"</f>
        <v>10-6-20-2-20.11 PD Uniform Traffic Ticket</v>
      </c>
      <c r="B8" s="7">
        <v>2000</v>
      </c>
      <c r="C8" s="7">
        <v>3816.5</v>
      </c>
      <c r="D8" s="2" t="str">
        <f>"190.83%"</f>
        <v>190.83%</v>
      </c>
    </row>
    <row r="9" spans="1:4" x14ac:dyDescent="0.25">
      <c r="A9" t="str">
        <f>"10-6-20-2-99.10 Misc Revenue Police"</f>
        <v>10-6-20-2-99.10 Misc Revenue Police</v>
      </c>
      <c r="B9" s="7">
        <v>0</v>
      </c>
      <c r="C9" s="7">
        <v>67.63</v>
      </c>
      <c r="D9" s="2" t="str">
        <f>"100.00%"</f>
        <v>100.00%</v>
      </c>
    </row>
    <row r="10" spans="1:4" x14ac:dyDescent="0.25">
      <c r="A10" s="11" t="s">
        <v>6</v>
      </c>
      <c r="B10" s="7">
        <f>SUM(B5:B9)</f>
        <v>7750</v>
      </c>
      <c r="C10" s="7">
        <f>SUM(C5:C9)</f>
        <v>6194.13</v>
      </c>
      <c r="D10" s="2">
        <f>C10/B10</f>
        <v>0.79924258064516129</v>
      </c>
    </row>
    <row r="12" spans="1:4" x14ac:dyDescent="0.25">
      <c r="A12" t="str">
        <f>"10-7-20-0-10.00 Salaries Police"</f>
        <v>10-7-20-0-10.00 Salaries Police</v>
      </c>
      <c r="B12" s="7">
        <v>346580</v>
      </c>
      <c r="C12" s="7">
        <v>84875.4</v>
      </c>
      <c r="D12" s="2" t="str">
        <f>"24.49%"</f>
        <v>24.49%</v>
      </c>
    </row>
    <row r="13" spans="1:4" x14ac:dyDescent="0.25">
      <c r="A13" t="str">
        <f>"10-7-20-0-10.04 Constable Training"</f>
        <v>10-7-20-0-10.04 Constable Training</v>
      </c>
      <c r="B13" s="7">
        <v>500</v>
      </c>
      <c r="C13" s="7">
        <v>0</v>
      </c>
      <c r="D13" s="2" t="str">
        <f>"0.00%"</f>
        <v>0.00%</v>
      </c>
    </row>
    <row r="14" spans="1:4" x14ac:dyDescent="0.25">
      <c r="A14" t="str">
        <f>"10-7-20-0-10.05 PD Life Insurance"</f>
        <v>10-7-20-0-10.05 PD Life Insurance</v>
      </c>
      <c r="B14" s="7">
        <v>2000</v>
      </c>
      <c r="C14" s="7">
        <v>108.83</v>
      </c>
      <c r="D14" s="2" t="str">
        <f>"5.44%"</f>
        <v>5.44%</v>
      </c>
    </row>
    <row r="15" spans="1:4" x14ac:dyDescent="0.25">
      <c r="A15" t="str">
        <f>"10-7-20-0-10.06 On-call hours PD"</f>
        <v>10-7-20-0-10.06 On-call hours PD</v>
      </c>
      <c r="B15" s="7">
        <v>12000</v>
      </c>
      <c r="C15" s="7">
        <v>0</v>
      </c>
      <c r="D15" s="2" t="str">
        <f>"0.00%"</f>
        <v>0.00%</v>
      </c>
    </row>
    <row r="16" spans="1:4" x14ac:dyDescent="0.25">
      <c r="A16" t="str">
        <f>"10-7-20-0-10.07 Bonus Max Years - Police"</f>
        <v>10-7-20-0-10.07 Bonus Max Years - Police</v>
      </c>
      <c r="B16" s="7">
        <v>797</v>
      </c>
      <c r="C16" s="7">
        <v>0</v>
      </c>
      <c r="D16" s="2" t="str">
        <f>"0.00%"</f>
        <v>0.00%</v>
      </c>
    </row>
    <row r="17" spans="1:4" x14ac:dyDescent="0.25">
      <c r="A17" t="str">
        <f>"10-7-20-0-10.30 Health Ins Opt Out PD"</f>
        <v>10-7-20-0-10.30 Health Ins Opt Out PD</v>
      </c>
      <c r="B17" s="7">
        <v>5000</v>
      </c>
      <c r="C17" s="7">
        <v>0</v>
      </c>
      <c r="D17" s="2" t="str">
        <f>"0.00%"</f>
        <v>0.00%</v>
      </c>
    </row>
    <row r="18" spans="1:4" x14ac:dyDescent="0.25">
      <c r="A18" t="str">
        <f>"10-7-20-0-10.99 Overtime PD"</f>
        <v>10-7-20-0-10.99 Overtime PD</v>
      </c>
      <c r="B18" s="7">
        <v>15000</v>
      </c>
      <c r="C18" s="7">
        <v>15639.77</v>
      </c>
      <c r="D18" s="2" t="str">
        <f>"104.27%"</f>
        <v>104.27%</v>
      </c>
    </row>
    <row r="19" spans="1:4" x14ac:dyDescent="0.25">
      <c r="A19" t="str">
        <f>"10-7-20-0-11.00 SS/Medicare PD"</f>
        <v>10-7-20-0-11.00 SS/Medicare PD</v>
      </c>
      <c r="B19" s="7">
        <v>29597</v>
      </c>
      <c r="C19" s="7">
        <v>6649.16</v>
      </c>
      <c r="D19" s="2" t="str">
        <f>"22.47%"</f>
        <v>22.47%</v>
      </c>
    </row>
    <row r="20" spans="1:4" x14ac:dyDescent="0.25">
      <c r="A20" t="str">
        <f>"10-7-20-0-11.01 Child Care Contribute PD"</f>
        <v>10-7-20-0-11.01 Child Care Contribute PD</v>
      </c>
      <c r="B20" s="7">
        <v>0</v>
      </c>
      <c r="C20" s="7">
        <v>300.77999999999997</v>
      </c>
      <c r="D20" s="2" t="str">
        <f>"100.00%"</f>
        <v>100.00%</v>
      </c>
    </row>
    <row r="21" spans="1:4" x14ac:dyDescent="0.25">
      <c r="A21" t="str">
        <f>"10-7-20-0-12.00 VMERS PD"</f>
        <v>10-7-20-0-12.00 VMERS PD</v>
      </c>
      <c r="B21" s="7">
        <v>39351</v>
      </c>
      <c r="C21" s="7">
        <v>10713.71</v>
      </c>
      <c r="D21" s="2" t="str">
        <f>"27.23%"</f>
        <v>27.23%</v>
      </c>
    </row>
    <row r="22" spans="1:4" x14ac:dyDescent="0.25">
      <c r="A22" t="str">
        <f>"10-7-20-0-15.00 Health/Dental Ins"</f>
        <v>10-7-20-0-15.00 Health/Dental Ins</v>
      </c>
      <c r="B22" s="7">
        <v>76947</v>
      </c>
      <c r="C22" s="7">
        <v>35172.67</v>
      </c>
      <c r="D22" s="2" t="str">
        <f>"45.71%"</f>
        <v>45.71%</v>
      </c>
    </row>
    <row r="23" spans="1:4" x14ac:dyDescent="0.25">
      <c r="A23" t="str">
        <f>"10-7-20-0-15.01 Health Insurance HSA"</f>
        <v>10-7-20-0-15.01 Health Insurance HSA</v>
      </c>
      <c r="B23" s="7">
        <v>0</v>
      </c>
      <c r="C23" s="7">
        <v>431.05</v>
      </c>
      <c r="D23" s="2" t="str">
        <f>"100.00%"</f>
        <v>100.00%</v>
      </c>
    </row>
    <row r="24" spans="1:4" x14ac:dyDescent="0.25">
      <c r="A24" t="str">
        <f>"10-7-20-0-15.03 Long Term Disability"</f>
        <v>10-7-20-0-15.03 Long Term Disability</v>
      </c>
      <c r="B24" s="7">
        <v>1920</v>
      </c>
      <c r="C24" s="7">
        <v>498.42</v>
      </c>
      <c r="D24" s="2" t="str">
        <f>"25.96%"</f>
        <v>25.96%</v>
      </c>
    </row>
    <row r="25" spans="1:4" x14ac:dyDescent="0.25">
      <c r="A25" t="str">
        <f>"10-7-20-0-15.04 Short Term Disability PD"</f>
        <v>10-7-20-0-15.04 Short Term Disability PD</v>
      </c>
      <c r="B25" s="7">
        <v>720</v>
      </c>
      <c r="C25" s="7">
        <v>157.94999999999999</v>
      </c>
      <c r="D25" s="2" t="str">
        <f>"21.94%"</f>
        <v>21.94%</v>
      </c>
    </row>
    <row r="26" spans="1:4" x14ac:dyDescent="0.25">
      <c r="A26" t="str">
        <f>"10-7-20-1-16.00 Uniforms"</f>
        <v>10-7-20-1-16.00 Uniforms</v>
      </c>
      <c r="B26" s="7">
        <v>10000</v>
      </c>
      <c r="C26" s="7">
        <v>5895.43</v>
      </c>
      <c r="D26" s="2" t="str">
        <f>"58.95%"</f>
        <v>58.95%</v>
      </c>
    </row>
    <row r="27" spans="1:4" x14ac:dyDescent="0.25">
      <c r="A27" t="str">
        <f>"10-7-20-1-16.01 Body Camaras"</f>
        <v>10-7-20-1-16.01 Body Camaras</v>
      </c>
      <c r="B27" s="7">
        <v>4000</v>
      </c>
      <c r="C27" s="7">
        <v>2919</v>
      </c>
      <c r="D27" s="2" t="str">
        <f>"72.98%"</f>
        <v>72.98%</v>
      </c>
    </row>
    <row r="28" spans="1:4" x14ac:dyDescent="0.25">
      <c r="A28" t="str">
        <f>"10-7-20-1-20.00 Office Supplies"</f>
        <v>10-7-20-1-20.00 Office Supplies</v>
      </c>
      <c r="B28" s="7">
        <v>2500</v>
      </c>
      <c r="C28" s="7">
        <v>432.37</v>
      </c>
      <c r="D28" s="2" t="str">
        <f>"17.29%"</f>
        <v>17.29%</v>
      </c>
    </row>
    <row r="29" spans="1:4" x14ac:dyDescent="0.25">
      <c r="A29" t="str">
        <f>"10-7-20-1-22.00 Office Equipment"</f>
        <v>10-7-20-1-22.00 Office Equipment</v>
      </c>
      <c r="B29" s="7">
        <v>8000</v>
      </c>
      <c r="C29" s="7">
        <v>2424.36</v>
      </c>
      <c r="D29" s="2" t="str">
        <f>"30.30%"</f>
        <v>30.30%</v>
      </c>
    </row>
    <row r="30" spans="1:4" x14ac:dyDescent="0.25">
      <c r="A30" t="str">
        <f>"10-7-20-1-22.01 Computer - Office"</f>
        <v>10-7-20-1-22.01 Computer - Office</v>
      </c>
      <c r="B30" s="7">
        <v>1500</v>
      </c>
      <c r="C30" s="7">
        <v>4158.1400000000003</v>
      </c>
      <c r="D30" s="2" t="str">
        <f>"277.21%"</f>
        <v>277.21%</v>
      </c>
    </row>
    <row r="31" spans="1:4" x14ac:dyDescent="0.25">
      <c r="A31" t="str">
        <f>"10-7-20-1-22.02 General /PACIF Ins. PD"</f>
        <v>10-7-20-1-22.02 General /PACIF Ins. PD</v>
      </c>
      <c r="B31" s="7">
        <v>26854</v>
      </c>
      <c r="C31" s="7">
        <v>33944.11</v>
      </c>
      <c r="D31" s="2" t="str">
        <f>"126.40%"</f>
        <v>126.40%</v>
      </c>
    </row>
    <row r="32" spans="1:4" x14ac:dyDescent="0.25">
      <c r="A32" t="str">
        <f>"10-7-20-1-22.03 Contracted Services Patro"</f>
        <v>10-7-20-1-22.03 Contracted Services Patro</v>
      </c>
      <c r="B32" s="7">
        <v>0</v>
      </c>
      <c r="C32" s="7">
        <v>214602.5</v>
      </c>
      <c r="D32" s="2" t="str">
        <f>"100.00%"</f>
        <v>100.00%</v>
      </c>
    </row>
    <row r="33" spans="1:4" x14ac:dyDescent="0.25">
      <c r="A33" t="str">
        <f>"10-7-20-1-22.04 Contracted Services Chief"</f>
        <v>10-7-20-1-22.04 Contracted Services Chief</v>
      </c>
      <c r="B33" s="7">
        <v>78000</v>
      </c>
      <c r="C33" s="7">
        <v>63710</v>
      </c>
      <c r="D33" s="2" t="str">
        <f>"81.68%"</f>
        <v>81.68%</v>
      </c>
    </row>
    <row r="34" spans="1:4" x14ac:dyDescent="0.25">
      <c r="A34" t="str">
        <f>"10-7-20-1-27.00 Training/Education"</f>
        <v>10-7-20-1-27.00 Training/Education</v>
      </c>
      <c r="B34" s="7">
        <v>5000</v>
      </c>
      <c r="C34" s="7">
        <v>0</v>
      </c>
      <c r="D34" s="2" t="str">
        <f>"0.00%"</f>
        <v>0.00%</v>
      </c>
    </row>
    <row r="35" spans="1:4" x14ac:dyDescent="0.25">
      <c r="A35" t="str">
        <f>"10-7-20-1-28.00 Forensic testing"</f>
        <v>10-7-20-1-28.00 Forensic testing</v>
      </c>
      <c r="B35" s="7">
        <v>500</v>
      </c>
      <c r="C35" s="7">
        <v>0</v>
      </c>
      <c r="D35" s="2" t="str">
        <f>"0.00%"</f>
        <v>0.00%</v>
      </c>
    </row>
    <row r="36" spans="1:4" x14ac:dyDescent="0.25">
      <c r="A36" t="str">
        <f>"10-7-20-1-29.00 Travel"</f>
        <v>10-7-20-1-29.00 Travel</v>
      </c>
      <c r="B36" s="7">
        <v>500</v>
      </c>
      <c r="C36" s="7">
        <v>0</v>
      </c>
      <c r="D36" s="2" t="str">
        <f>"0.00%"</f>
        <v>0.00%</v>
      </c>
    </row>
    <row r="37" spans="1:4" x14ac:dyDescent="0.25">
      <c r="A37" t="str">
        <f>"10-7-20-1-30.00 Telephone/Internet PD"</f>
        <v>10-7-20-1-30.00 Telephone/Internet PD</v>
      </c>
      <c r="B37" s="7">
        <v>8500</v>
      </c>
      <c r="C37" s="7">
        <v>6239.06</v>
      </c>
      <c r="D37" s="2" t="str">
        <f>"73.40%"</f>
        <v>73.40%</v>
      </c>
    </row>
    <row r="38" spans="1:4" x14ac:dyDescent="0.25">
      <c r="A38" t="str">
        <f>"10-7-20-1-30.01 Cell Phones PD"</f>
        <v>10-7-20-1-30.01 Cell Phones PD</v>
      </c>
      <c r="B38" s="7">
        <v>2000</v>
      </c>
      <c r="C38" s="7">
        <v>1987.52</v>
      </c>
      <c r="D38" s="2" t="str">
        <f>"99.38%"</f>
        <v>99.38%</v>
      </c>
    </row>
    <row r="39" spans="1:4" x14ac:dyDescent="0.25">
      <c r="A39" t="str">
        <f>"10-7-20-2-20.10 Polygraph Testing"</f>
        <v>10-7-20-2-20.10 Polygraph Testing</v>
      </c>
      <c r="B39" s="7">
        <v>800</v>
      </c>
      <c r="C39" s="7">
        <v>5214.75</v>
      </c>
      <c r="D39" s="2" t="str">
        <f>"651.84%"</f>
        <v>651.84%</v>
      </c>
    </row>
    <row r="40" spans="1:4" x14ac:dyDescent="0.25">
      <c r="A40" t="str">
        <f>"10-7-20-3-20.00 Police Supplies"</f>
        <v>10-7-20-3-20.00 Police Supplies</v>
      </c>
      <c r="B40" s="7">
        <v>5000</v>
      </c>
      <c r="C40" s="7">
        <v>1814.16</v>
      </c>
      <c r="D40" s="2" t="str">
        <f>"36.28%"</f>
        <v>36.28%</v>
      </c>
    </row>
    <row r="41" spans="1:4" x14ac:dyDescent="0.25">
      <c r="A41" t="str">
        <f>"10-7-20-3-20.01 Late Fees - Credit Card"</f>
        <v>10-7-20-3-20.01 Late Fees - Credit Card</v>
      </c>
      <c r="B41" s="7">
        <v>0</v>
      </c>
      <c r="C41" s="7">
        <v>26.14</v>
      </c>
      <c r="D41" s="2" t="str">
        <f>"100.00%"</f>
        <v>100.00%</v>
      </c>
    </row>
    <row r="42" spans="1:4" x14ac:dyDescent="0.25">
      <c r="A42" t="str">
        <f>"10-7-20-3-35.00 Equipment Repair"</f>
        <v>10-7-20-3-35.00 Equipment Repair</v>
      </c>
      <c r="B42" s="7">
        <v>1500</v>
      </c>
      <c r="C42" s="7">
        <v>170</v>
      </c>
      <c r="D42" s="2" t="str">
        <f>"11.33%"</f>
        <v>11.33%</v>
      </c>
    </row>
    <row r="43" spans="1:4" x14ac:dyDescent="0.25">
      <c r="A43" t="str">
        <f>"10-7-20-3-95.21 Public Relations"</f>
        <v>10-7-20-3-95.21 Public Relations</v>
      </c>
      <c r="B43" s="7">
        <v>1200</v>
      </c>
      <c r="C43" s="7">
        <v>585</v>
      </c>
      <c r="D43" s="2" t="str">
        <f>"48.75%"</f>
        <v>48.75%</v>
      </c>
    </row>
    <row r="44" spans="1:4" x14ac:dyDescent="0.25">
      <c r="A44" t="str">
        <f>"10-8-90-5-95.20 CUSI Domestic Task Force"</f>
        <v>10-8-90-5-95.20 CUSI Domestic Task Force</v>
      </c>
      <c r="B44" s="7">
        <v>3431</v>
      </c>
      <c r="C44" s="7">
        <v>3431</v>
      </c>
      <c r="D44" s="2" t="str">
        <f>"100.00%"</f>
        <v>100.00%</v>
      </c>
    </row>
    <row r="45" spans="1:4" x14ac:dyDescent="0.25">
      <c r="A45" t="str">
        <f>"10-7-20-5-50.00 Cruiser Fuel: Gas"</f>
        <v>10-7-20-5-50.00 Cruiser Fuel: Gas</v>
      </c>
      <c r="B45" s="7">
        <v>25000</v>
      </c>
      <c r="C45" s="7">
        <v>2666.71</v>
      </c>
      <c r="D45" s="2" t="str">
        <f>"10.67%"</f>
        <v>10.67%</v>
      </c>
    </row>
    <row r="46" spans="1:4" x14ac:dyDescent="0.25">
      <c r="A46" t="str">
        <f>"10-7-20-5-50.02 Cruiser Fuel:  Electric"</f>
        <v>10-7-20-5-50.02 Cruiser Fuel:  Electric</v>
      </c>
      <c r="B46" s="7">
        <v>1000</v>
      </c>
      <c r="C46" s="7">
        <v>131.09</v>
      </c>
      <c r="D46" s="2" t="str">
        <f>"13.11%"</f>
        <v>13.11%</v>
      </c>
    </row>
    <row r="47" spans="1:4" x14ac:dyDescent="0.25">
      <c r="A47" t="str">
        <f>"10-7-20-5-52.00 Police Cruiser Repair"</f>
        <v>10-7-20-5-52.00 Police Cruiser Repair</v>
      </c>
      <c r="B47" s="7">
        <v>8000</v>
      </c>
      <c r="C47" s="7">
        <v>1464.19</v>
      </c>
      <c r="D47" s="2" t="str">
        <f>"18.30%"</f>
        <v>18.30%</v>
      </c>
    </row>
    <row r="48" spans="1:4" x14ac:dyDescent="0.25">
      <c r="A48" t="str">
        <f>"10-7-20-5-52.19 Police Cruiser Tires"</f>
        <v>10-7-20-5-52.19 Police Cruiser Tires</v>
      </c>
      <c r="B48" s="7">
        <v>3500</v>
      </c>
      <c r="C48" s="7">
        <v>1771.16</v>
      </c>
      <c r="D48" s="2" t="str">
        <f>"50.60%"</f>
        <v>50.60%</v>
      </c>
    </row>
    <row r="49" spans="1:4" x14ac:dyDescent="0.25">
      <c r="A49" s="11" t="s">
        <v>7</v>
      </c>
      <c r="B49" s="7">
        <f>SUM(B12:B48)</f>
        <v>727197</v>
      </c>
      <c r="C49" s="7">
        <f>SUM(C12:C48)</f>
        <v>508134.43000000005</v>
      </c>
      <c r="D49" s="1">
        <f>C49/B49</f>
        <v>0.69875759938503601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C5541-24E2-4245-88F9-731ECA16381C}">
  <dimension ref="A1:D38"/>
  <sheetViews>
    <sheetView topLeftCell="A10" workbookViewId="0">
      <selection sqref="A1:XFD4"/>
    </sheetView>
  </sheetViews>
  <sheetFormatPr defaultRowHeight="15" x14ac:dyDescent="0.25"/>
  <cols>
    <col min="1" max="1" width="41.85546875" customWidth="1"/>
    <col min="2" max="2" width="15.42578125" style="7" customWidth="1"/>
    <col min="3" max="3" width="17.42578125" style="7" customWidth="1"/>
    <col min="4" max="4" width="14.85546875" customWidth="1"/>
  </cols>
  <sheetData>
    <row r="1" spans="1:4" x14ac:dyDescent="0.25">
      <c r="A1" t="s">
        <v>0</v>
      </c>
      <c r="D1" s="2"/>
    </row>
    <row r="2" spans="1:4" x14ac:dyDescent="0.25">
      <c r="A2" t="s">
        <v>1</v>
      </c>
      <c r="D2" s="2"/>
    </row>
    <row r="3" spans="1:4" x14ac:dyDescent="0.25">
      <c r="D3" s="2" t="s">
        <v>2</v>
      </c>
    </row>
    <row r="4" spans="1:4" x14ac:dyDescent="0.25">
      <c r="B4" s="8" t="s">
        <v>3</v>
      </c>
      <c r="C4" s="8" t="s">
        <v>2</v>
      </c>
      <c r="D4" s="2" t="s">
        <v>4</v>
      </c>
    </row>
    <row r="5" spans="1:4" x14ac:dyDescent="0.25">
      <c r="A5" t="str">
        <f>"10-6-35 LIBRARY REVENUE"</f>
        <v>10-6-35 LIBRARY REVENUE</v>
      </c>
      <c r="D5" s="2" t="str">
        <f>""</f>
        <v/>
      </c>
    </row>
    <row r="6" spans="1:4" x14ac:dyDescent="0.25">
      <c r="A6" t="str">
        <f>"10-6-35-2-32.00 Electric VCS Library"</f>
        <v>10-6-35-2-32.00 Electric VCS Library</v>
      </c>
      <c r="B6" s="7">
        <v>1000</v>
      </c>
      <c r="C6" s="7">
        <v>4731.7</v>
      </c>
      <c r="D6" s="2" t="str">
        <f>"473.17%"</f>
        <v>473.17%</v>
      </c>
    </row>
    <row r="7" spans="1:4" x14ac:dyDescent="0.25">
      <c r="A7" t="str">
        <f>"10-6-35-3-00.10 Library Non Resident Fees"</f>
        <v>10-6-35-3-00.10 Library Non Resident Fees</v>
      </c>
      <c r="B7" s="7">
        <v>800</v>
      </c>
      <c r="C7" s="7">
        <v>1910</v>
      </c>
      <c r="D7" s="2" t="str">
        <f>"238.75%"</f>
        <v>238.75%</v>
      </c>
    </row>
    <row r="8" spans="1:4" x14ac:dyDescent="0.25">
      <c r="A8" t="str">
        <f>"10-6-35-3-00.13 Book Replacement lost/dam"</f>
        <v>10-6-35-3-00.13 Book Replacement lost/dam</v>
      </c>
      <c r="B8" s="7">
        <v>0</v>
      </c>
      <c r="C8" s="7">
        <v>802.98</v>
      </c>
      <c r="D8" s="2" t="str">
        <f>"100.00%"</f>
        <v>100.00%</v>
      </c>
    </row>
    <row r="9" spans="1:4" x14ac:dyDescent="0.25">
      <c r="A9" t="str">
        <f>"10-6-35-3-20.02 Library Public Technology"</f>
        <v>10-6-35-3-20.02 Library Public Technology</v>
      </c>
      <c r="B9" s="7">
        <v>3000</v>
      </c>
      <c r="C9" s="7">
        <v>3435.72</v>
      </c>
      <c r="D9" s="2" t="str">
        <f>"114.52%"</f>
        <v>114.52%</v>
      </c>
    </row>
    <row r="10" spans="1:4" x14ac:dyDescent="0.25">
      <c r="A10" t="str">
        <f>"10-6-35-3-45.02 Library restricted donati"</f>
        <v>10-6-35-3-45.02 Library restricted donati</v>
      </c>
      <c r="B10" s="7">
        <v>0</v>
      </c>
      <c r="C10" s="7">
        <v>2678.97</v>
      </c>
      <c r="D10" s="2" t="str">
        <f>"100.00%"</f>
        <v>100.00%</v>
      </c>
    </row>
    <row r="11" spans="1:4" x14ac:dyDescent="0.25">
      <c r="A11" s="11" t="s">
        <v>6</v>
      </c>
      <c r="B11" s="7">
        <f>SUM(B6:B10)</f>
        <v>4800</v>
      </c>
      <c r="C11" s="7">
        <f>SUM(C6:C10)</f>
        <v>13559.369999999999</v>
      </c>
      <c r="D11" s="3">
        <f>C11/B11</f>
        <v>2.8248687499999998</v>
      </c>
    </row>
    <row r="13" spans="1:4" x14ac:dyDescent="0.25">
      <c r="A13" t="str">
        <f>"10-7-35-0-10.00 Salaries Library"</f>
        <v>10-7-35-0-10.00 Salaries Library</v>
      </c>
      <c r="B13" s="7">
        <v>216437</v>
      </c>
      <c r="C13" s="7">
        <v>186831.04</v>
      </c>
      <c r="D13" s="2" t="str">
        <f>"86.32%"</f>
        <v>86.32%</v>
      </c>
    </row>
    <row r="14" spans="1:4" x14ac:dyDescent="0.25">
      <c r="A14" t="str">
        <f>"10-7-35-0-10.01 Bonus Max Years - Library"</f>
        <v>10-7-35-0-10.01 Bonus Max Years - Library</v>
      </c>
      <c r="B14" s="7">
        <v>1892</v>
      </c>
      <c r="C14" s="7">
        <v>1705.56</v>
      </c>
      <c r="D14" s="2" t="str">
        <f>"90.15%"</f>
        <v>90.15%</v>
      </c>
    </row>
    <row r="15" spans="1:4" x14ac:dyDescent="0.25">
      <c r="A15" t="str">
        <f>"10-7-35-0-10.30 Health Ins Opt Out Librar"</f>
        <v>10-7-35-0-10.30 Health Ins Opt Out Librar</v>
      </c>
      <c r="B15" s="7">
        <v>5000</v>
      </c>
      <c r="C15" s="7">
        <v>4730.83</v>
      </c>
      <c r="D15" s="2" t="str">
        <f>"94.62%"</f>
        <v>94.62%</v>
      </c>
    </row>
    <row r="16" spans="1:4" x14ac:dyDescent="0.25">
      <c r="A16" t="str">
        <f>"10-7-35-0-11.00 SS/Medicare Lib"</f>
        <v>10-7-35-0-11.00 SS/Medicare Lib</v>
      </c>
      <c r="B16" s="7">
        <v>17196</v>
      </c>
      <c r="C16" s="7">
        <v>13284.26</v>
      </c>
      <c r="D16" s="2" t="str">
        <f>"77.25%"</f>
        <v>77.25%</v>
      </c>
    </row>
    <row r="17" spans="1:4" x14ac:dyDescent="0.25">
      <c r="A17" t="str">
        <f>"10-7-35-0-11.01 Child Care Contribute Lib"</f>
        <v>10-7-35-0-11.01 Child Care Contribute Lib</v>
      </c>
      <c r="B17" s="7">
        <v>0</v>
      </c>
      <c r="C17" s="7">
        <v>726.33</v>
      </c>
      <c r="D17" s="2" t="str">
        <f>"100.00%"</f>
        <v>100.00%</v>
      </c>
    </row>
    <row r="18" spans="1:4" x14ac:dyDescent="0.25">
      <c r="A18" t="str">
        <f>"10-7-35-0-12.00 VMERS Lib"</f>
        <v>10-7-35-0-12.00 VMERS Lib</v>
      </c>
      <c r="B18" s="7">
        <v>12398</v>
      </c>
      <c r="C18" s="7">
        <v>10617.22</v>
      </c>
      <c r="D18" s="2" t="str">
        <f>"85.64%"</f>
        <v>85.64%</v>
      </c>
    </row>
    <row r="19" spans="1:4" x14ac:dyDescent="0.25">
      <c r="A19" t="str">
        <f>"10-7-35-0-15.00 Health/Dental Ins"</f>
        <v>10-7-35-0-15.00 Health/Dental Ins</v>
      </c>
      <c r="B19" s="7">
        <v>35476</v>
      </c>
      <c r="C19" s="7">
        <v>36184.03</v>
      </c>
      <c r="D19" s="2" t="str">
        <f>"102.00%"</f>
        <v>102.00%</v>
      </c>
    </row>
    <row r="20" spans="1:4" x14ac:dyDescent="0.25">
      <c r="A20" t="str">
        <f>"10-7-35-0-15.03 Long Term Disablity"</f>
        <v>10-7-35-0-15.03 Long Term Disablity</v>
      </c>
      <c r="B20" s="7">
        <v>840</v>
      </c>
      <c r="C20" s="7">
        <v>751.4</v>
      </c>
      <c r="D20" s="2" t="str">
        <f>"89.45%"</f>
        <v>89.45%</v>
      </c>
    </row>
    <row r="21" spans="1:4" x14ac:dyDescent="0.25">
      <c r="A21" t="str">
        <f>"10-7-35-1-20.00 Office Supplies"</f>
        <v>10-7-35-1-20.00 Office Supplies</v>
      </c>
      <c r="B21" s="7">
        <v>2250</v>
      </c>
      <c r="C21" s="7">
        <v>3073.1</v>
      </c>
      <c r="D21" s="2" t="str">
        <f>"136.58%"</f>
        <v>136.58%</v>
      </c>
    </row>
    <row r="22" spans="1:4" x14ac:dyDescent="0.25">
      <c r="A22" t="str">
        <f>"10-7-35-1-21.00 Postage"</f>
        <v>10-7-35-1-21.00 Postage</v>
      </c>
      <c r="B22" s="7">
        <v>1000</v>
      </c>
      <c r="C22" s="7">
        <v>1468.44</v>
      </c>
      <c r="D22" s="2" t="str">
        <f>"146.84%"</f>
        <v>146.84%</v>
      </c>
    </row>
    <row r="23" spans="1:4" x14ac:dyDescent="0.25">
      <c r="A23" t="str">
        <f>"10-7-35-1-22.00 Computer"</f>
        <v>10-7-35-1-22.00 Computer</v>
      </c>
      <c r="B23" s="7">
        <v>2500</v>
      </c>
      <c r="C23" s="7">
        <v>2735.86</v>
      </c>
      <c r="D23" s="2" t="str">
        <f>"109.43%"</f>
        <v>109.43%</v>
      </c>
    </row>
    <row r="24" spans="1:4" x14ac:dyDescent="0.25">
      <c r="A24" t="str">
        <f>"10-7-35-1-27.00 Training/Education"</f>
        <v>10-7-35-1-27.00 Training/Education</v>
      </c>
      <c r="B24" s="7">
        <v>300</v>
      </c>
      <c r="C24" s="7">
        <v>266.36</v>
      </c>
      <c r="D24" s="2" t="str">
        <f>"88.79%"</f>
        <v>88.79%</v>
      </c>
    </row>
    <row r="25" spans="1:4" x14ac:dyDescent="0.25">
      <c r="A25" t="str">
        <f>"10-7-35-1-29.00 Travel"</f>
        <v>10-7-35-1-29.00 Travel</v>
      </c>
      <c r="B25" s="7">
        <v>300</v>
      </c>
      <c r="C25" s="7">
        <v>69.72</v>
      </c>
      <c r="D25" s="2" t="str">
        <f>"23.24%"</f>
        <v>23.24%</v>
      </c>
    </row>
    <row r="26" spans="1:4" x14ac:dyDescent="0.25">
      <c r="A26" t="str">
        <f>"10-7-35-1-29.01 General/PACIF Ins. Librar"</f>
        <v>10-7-35-1-29.01 General/PACIF Ins. Librar</v>
      </c>
      <c r="B26" s="7">
        <v>7950</v>
      </c>
      <c r="C26" s="7">
        <v>8597.6200000000008</v>
      </c>
      <c r="D26" s="2" t="str">
        <f>"108.15%"</f>
        <v>108.15%</v>
      </c>
    </row>
    <row r="27" spans="1:4" x14ac:dyDescent="0.25">
      <c r="A27" t="str">
        <f>"10-7-35-1-30.00 Telephone/Internet Librar"</f>
        <v>10-7-35-1-30.00 Telephone/Internet Librar</v>
      </c>
      <c r="B27" s="7">
        <v>2700</v>
      </c>
      <c r="C27" s="7">
        <v>2076.71</v>
      </c>
      <c r="D27" s="2" t="str">
        <f>"76.92%"</f>
        <v>76.92%</v>
      </c>
    </row>
    <row r="28" spans="1:4" x14ac:dyDescent="0.25">
      <c r="A28" t="str">
        <f>"10-7-35-2-31.00 Heat"</f>
        <v>10-7-35-2-31.00 Heat</v>
      </c>
      <c r="B28" s="7">
        <v>4000</v>
      </c>
      <c r="C28" s="7">
        <v>3029.35</v>
      </c>
      <c r="D28" s="2" t="str">
        <f>"75.73%"</f>
        <v>75.73%</v>
      </c>
    </row>
    <row r="29" spans="1:4" x14ac:dyDescent="0.25">
      <c r="A29" t="str">
        <f>"10-7-35-2-32.00 Electricity"</f>
        <v>10-7-35-2-32.00 Electricity</v>
      </c>
      <c r="B29" s="7">
        <v>6200</v>
      </c>
      <c r="C29" s="7">
        <v>6073.82</v>
      </c>
      <c r="D29" s="2" t="str">
        <f>"97.96%"</f>
        <v>97.96%</v>
      </c>
    </row>
    <row r="30" spans="1:4" x14ac:dyDescent="0.25">
      <c r="A30" t="str">
        <f>"10-7-35-2-32.01 EVS Charging Station"</f>
        <v>10-7-35-2-32.01 EVS Charging Station</v>
      </c>
      <c r="B30" s="7">
        <v>0</v>
      </c>
      <c r="C30" s="7">
        <v>4132.1499999999996</v>
      </c>
      <c r="D30" s="2" t="str">
        <f>"100.00%"</f>
        <v>100.00%</v>
      </c>
    </row>
    <row r="31" spans="1:4" x14ac:dyDescent="0.25">
      <c r="A31" t="str">
        <f>"10-7-35-2-33.00 Water and Sewer"</f>
        <v>10-7-35-2-33.00 Water and Sewer</v>
      </c>
      <c r="B31" s="7">
        <v>2000</v>
      </c>
      <c r="C31" s="7">
        <v>1338.61</v>
      </c>
      <c r="D31" s="2" t="str">
        <f>"66.93%_x000C_"</f>
        <v>66.93%_x000C_</v>
      </c>
    </row>
    <row r="32" spans="1:4" x14ac:dyDescent="0.25">
      <c r="A32" t="str">
        <f>"10-7-35-2-62.00 Maintenance"</f>
        <v>10-7-35-2-62.00 Maintenance</v>
      </c>
      <c r="B32" s="7">
        <v>15000</v>
      </c>
      <c r="C32" s="7">
        <v>9295.65</v>
      </c>
      <c r="D32" s="2" t="str">
        <f>"61.97%"</f>
        <v>61.97%</v>
      </c>
    </row>
    <row r="33" spans="1:4" x14ac:dyDescent="0.25">
      <c r="A33" t="str">
        <f>"10-7-35-3-20.01 Books"</f>
        <v>10-7-35-3-20.01 Books</v>
      </c>
      <c r="B33" s="7">
        <v>20000</v>
      </c>
      <c r="C33" s="7">
        <v>17342.66</v>
      </c>
      <c r="D33" s="2" t="str">
        <f>"86.71%"</f>
        <v>86.71%</v>
      </c>
    </row>
    <row r="34" spans="1:4" x14ac:dyDescent="0.25">
      <c r="A34" t="str">
        <f>"10-7-35-3-20.02 Technology - Public Use"</f>
        <v>10-7-35-3-20.02 Technology - Public Use</v>
      </c>
      <c r="B34" s="7">
        <v>3000</v>
      </c>
      <c r="C34" s="7">
        <v>1569.28</v>
      </c>
      <c r="D34" s="2" t="str">
        <f>"52.31%"</f>
        <v>52.31%</v>
      </c>
    </row>
    <row r="35" spans="1:4" x14ac:dyDescent="0.25">
      <c r="A35" t="str">
        <f>"10-7-35-3-45.01 Programs"</f>
        <v>10-7-35-3-45.01 Programs</v>
      </c>
      <c r="B35" s="7">
        <v>1200</v>
      </c>
      <c r="C35" s="7">
        <v>374.55</v>
      </c>
      <c r="D35" s="2" t="str">
        <f>"31.21%"</f>
        <v>31.21%</v>
      </c>
    </row>
    <row r="36" spans="1:4" x14ac:dyDescent="0.25">
      <c r="A36" t="str">
        <f>"10-7-35-3-45.02 Library Rest. Donation"</f>
        <v>10-7-35-3-45.02 Library Rest. Donation</v>
      </c>
      <c r="B36" s="7">
        <v>0</v>
      </c>
      <c r="C36" s="7">
        <v>2088.75</v>
      </c>
      <c r="D36" s="2" t="str">
        <f>"100.00%"</f>
        <v>100.00%</v>
      </c>
    </row>
    <row r="37" spans="1:4" x14ac:dyDescent="0.25">
      <c r="A37" t="str">
        <f>"10-7-90-2-92.01 Library Reserve"</f>
        <v>10-7-90-2-92.01 Library Reserve</v>
      </c>
      <c r="B37" s="7">
        <v>12000</v>
      </c>
      <c r="C37" s="7">
        <v>12000</v>
      </c>
      <c r="D37" s="2" t="str">
        <f>"100.00%_x000C_"</f>
        <v>100.00%_x000C_</v>
      </c>
    </row>
    <row r="38" spans="1:4" x14ac:dyDescent="0.25">
      <c r="A38" s="11" t="s">
        <v>7</v>
      </c>
      <c r="B38" s="7">
        <f>SUM(B13:B37)</f>
        <v>369639</v>
      </c>
      <c r="C38" s="7">
        <f>SUM(C13:C37)</f>
        <v>330363.3</v>
      </c>
      <c r="D38" s="1">
        <f>C38/B38</f>
        <v>0.89374578981114006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87F5A-8CE9-4FBE-8686-E2BA2EBD4F86}">
  <dimension ref="A1:D36"/>
  <sheetViews>
    <sheetView topLeftCell="A7" workbookViewId="0">
      <selection sqref="A1:XFD4"/>
    </sheetView>
  </sheetViews>
  <sheetFormatPr defaultRowHeight="15" x14ac:dyDescent="0.25"/>
  <cols>
    <col min="1" max="1" width="46.85546875" customWidth="1"/>
    <col min="2" max="2" width="9.140625" style="7"/>
    <col min="3" max="3" width="15.140625" style="7" customWidth="1"/>
    <col min="4" max="4" width="18.85546875" customWidth="1"/>
  </cols>
  <sheetData>
    <row r="1" spans="1:4" x14ac:dyDescent="0.25">
      <c r="A1" t="s">
        <v>0</v>
      </c>
      <c r="D1" s="2"/>
    </row>
    <row r="2" spans="1:4" x14ac:dyDescent="0.25">
      <c r="A2" t="s">
        <v>1</v>
      </c>
      <c r="D2" s="2"/>
    </row>
    <row r="3" spans="1:4" x14ac:dyDescent="0.25">
      <c r="D3" s="2" t="s">
        <v>2</v>
      </c>
    </row>
    <row r="4" spans="1:4" x14ac:dyDescent="0.25">
      <c r="B4" s="8" t="s">
        <v>3</v>
      </c>
      <c r="C4" s="8" t="s">
        <v>2</v>
      </c>
      <c r="D4" s="2" t="s">
        <v>4</v>
      </c>
    </row>
    <row r="5" spans="1:4" x14ac:dyDescent="0.25">
      <c r="A5" t="str">
        <f>"10-6-40-1-00.00 Insurance Reimb Fire"</f>
        <v>10-6-40-1-00.00 Insurance Reimb Fire</v>
      </c>
      <c r="B5" s="7">
        <v>0</v>
      </c>
      <c r="C5" s="7">
        <v>15861.56</v>
      </c>
      <c r="D5" s="2" t="str">
        <f>"100.00%"</f>
        <v>100.00%</v>
      </c>
    </row>
    <row r="6" spans="1:4" x14ac:dyDescent="0.25">
      <c r="A6" s="11" t="s">
        <v>6</v>
      </c>
      <c r="B6" s="7">
        <f>SUM(B5)</f>
        <v>0</v>
      </c>
      <c r="C6" s="7">
        <f>SUM(C5)</f>
        <v>15861.56</v>
      </c>
      <c r="D6" s="2" t="str">
        <f>"-----------"</f>
        <v>-----------</v>
      </c>
    </row>
    <row r="7" spans="1:4" x14ac:dyDescent="0.25">
      <c r="A7" s="11"/>
      <c r="D7" s="2"/>
    </row>
    <row r="8" spans="1:4" x14ac:dyDescent="0.25">
      <c r="A8" t="str">
        <f>"10-7-40-0-10.00 Salaries Fire"</f>
        <v>10-7-40-0-10.00 Salaries Fire</v>
      </c>
      <c r="B8" s="7">
        <v>57000</v>
      </c>
      <c r="C8" s="7">
        <v>64153.81</v>
      </c>
      <c r="D8" s="2" t="str">
        <f>"112.55%"</f>
        <v>112.55%</v>
      </c>
    </row>
    <row r="9" spans="1:4" x14ac:dyDescent="0.25">
      <c r="A9" t="str">
        <f>"10-7-40-0-11.00 Social Security/Medicare"</f>
        <v>10-7-40-0-11.00 Social Security/Medicare</v>
      </c>
      <c r="B9" s="7">
        <v>4389</v>
      </c>
      <c r="C9" s="7">
        <v>4907.7700000000004</v>
      </c>
      <c r="D9" s="2" t="str">
        <f>"111.82%"</f>
        <v>111.82%</v>
      </c>
    </row>
    <row r="10" spans="1:4" x14ac:dyDescent="0.25">
      <c r="A10" t="str">
        <f>"10-7-40-1-18.00 Medical"</f>
        <v>10-7-40-1-18.00 Medical</v>
      </c>
      <c r="B10" s="7">
        <v>1000</v>
      </c>
      <c r="C10" s="7">
        <v>227</v>
      </c>
      <c r="D10" s="2" t="str">
        <f>"22.70%"</f>
        <v>22.70%</v>
      </c>
    </row>
    <row r="11" spans="1:4" x14ac:dyDescent="0.25">
      <c r="A11" t="str">
        <f>"10-7-40-1-27.00 Training/Education"</f>
        <v>10-7-40-1-27.00 Training/Education</v>
      </c>
      <c r="B11" s="7">
        <v>1000</v>
      </c>
      <c r="C11" s="7">
        <v>400</v>
      </c>
      <c r="D11" s="2" t="str">
        <f>"40.00%"</f>
        <v>40.00%</v>
      </c>
    </row>
    <row r="12" spans="1:4" x14ac:dyDescent="0.25">
      <c r="A12" t="str">
        <f>"10-7-40-1-29.00 Travel"</f>
        <v>10-7-40-1-29.00 Travel</v>
      </c>
      <c r="B12" s="7">
        <v>1000</v>
      </c>
      <c r="C12" s="7">
        <v>326.68</v>
      </c>
      <c r="D12" s="2" t="str">
        <f>"32.67%"</f>
        <v>32.67%</v>
      </c>
    </row>
    <row r="13" spans="1:4" x14ac:dyDescent="0.25">
      <c r="A13" t="str">
        <f>"10-7-40-1-30.00 Telephone/Internet Fire"</f>
        <v>10-7-40-1-30.00 Telephone/Internet Fire</v>
      </c>
      <c r="B13" s="7">
        <v>4000</v>
      </c>
      <c r="C13" s="7">
        <v>4030.41</v>
      </c>
      <c r="D13" s="2" t="str">
        <f>"100.76%"</f>
        <v>100.76%</v>
      </c>
    </row>
    <row r="14" spans="1:4" x14ac:dyDescent="0.25">
      <c r="A14" t="str">
        <f>"10-7-40-1-30.01 Cell Phones Fire"</f>
        <v>10-7-40-1-30.01 Cell Phones Fire</v>
      </c>
      <c r="B14" s="7">
        <v>500</v>
      </c>
      <c r="C14" s="7">
        <v>363.11</v>
      </c>
      <c r="D14" s="2" t="str">
        <f>"72.62%"</f>
        <v>72.62%</v>
      </c>
    </row>
    <row r="15" spans="1:4" x14ac:dyDescent="0.25">
      <c r="A15" t="str">
        <f>"10-7-40-1-95.00 Public Relations"</f>
        <v>10-7-40-1-95.00 Public Relations</v>
      </c>
      <c r="B15" s="7">
        <v>700</v>
      </c>
      <c r="C15" s="7">
        <v>879.98</v>
      </c>
      <c r="D15" s="2" t="str">
        <f>"125.71%"</f>
        <v>125.71%</v>
      </c>
    </row>
    <row r="16" spans="1:4" x14ac:dyDescent="0.25">
      <c r="A16" t="str">
        <f>"10-7-40-2-30.00 VLCT PACIF insurance"</f>
        <v>10-7-40-2-30.00 VLCT PACIF insurance</v>
      </c>
      <c r="B16" s="7">
        <v>9766</v>
      </c>
      <c r="C16" s="7">
        <v>12381.5</v>
      </c>
      <c r="D16" s="2" t="str">
        <f>"126.78%"</f>
        <v>126.78%</v>
      </c>
    </row>
    <row r="17" spans="1:4" x14ac:dyDescent="0.25">
      <c r="A17" t="str">
        <f>"10-7-40-2-31.00 Heat"</f>
        <v>10-7-40-2-31.00 Heat</v>
      </c>
      <c r="B17" s="7">
        <v>4000</v>
      </c>
      <c r="C17" s="7">
        <v>2320.61</v>
      </c>
      <c r="D17" s="2" t="str">
        <f>"58.02%"</f>
        <v>58.02%</v>
      </c>
    </row>
    <row r="18" spans="1:4" x14ac:dyDescent="0.25">
      <c r="A18" t="str">
        <f>"10-7-40-2-32.00 Electricity"</f>
        <v>10-7-40-2-32.00 Electricity</v>
      </c>
      <c r="B18" s="7">
        <v>2500</v>
      </c>
      <c r="C18" s="7">
        <v>2239.04</v>
      </c>
      <c r="D18" s="2" t="str">
        <f>"89.56%"</f>
        <v>89.56%</v>
      </c>
    </row>
    <row r="19" spans="1:4" x14ac:dyDescent="0.25">
      <c r="A19" t="str">
        <f>"10-7-40-2-33.00 Water and Sewer"</f>
        <v>10-7-40-2-33.00 Water and Sewer</v>
      </c>
      <c r="B19" s="7">
        <v>2000</v>
      </c>
      <c r="C19" s="7">
        <v>1433.47</v>
      </c>
      <c r="D19" s="2" t="str">
        <f>"71.67%"</f>
        <v>71.67%</v>
      </c>
    </row>
    <row r="20" spans="1:4" x14ac:dyDescent="0.25">
      <c r="A20" t="str">
        <f>"10-7-40-2-62.00 Maintenance - General"</f>
        <v>10-7-40-2-62.00 Maintenance - General</v>
      </c>
      <c r="B20" s="7">
        <v>10000</v>
      </c>
      <c r="C20" s="7">
        <v>6453.38</v>
      </c>
      <c r="D20" s="2" t="str">
        <f>"64.53%"</f>
        <v>64.53%</v>
      </c>
    </row>
    <row r="21" spans="1:4" x14ac:dyDescent="0.25">
      <c r="A21" t="str">
        <f>"10-7-40-5-35.01 Radio Repair &amp; Replacemen"</f>
        <v>10-7-40-5-35.01 Radio Repair &amp; Replacemen</v>
      </c>
      <c r="B21" s="7">
        <v>10000</v>
      </c>
      <c r="C21" s="7">
        <v>5224.6000000000004</v>
      </c>
      <c r="D21" s="2" t="str">
        <f>"52.25%"</f>
        <v>52.25%</v>
      </c>
    </row>
    <row r="22" spans="1:4" x14ac:dyDescent="0.25">
      <c r="A22" t="str">
        <f>"10-7-40-5-35.03 Radio Dispatch"</f>
        <v>10-7-40-5-35.03 Radio Dispatch</v>
      </c>
      <c r="B22" s="7">
        <v>5600</v>
      </c>
      <c r="C22" s="7">
        <v>4113</v>
      </c>
      <c r="D22" s="2" t="str">
        <f>"73.45%"</f>
        <v>73.45%</v>
      </c>
    </row>
    <row r="23" spans="1:4" x14ac:dyDescent="0.25">
      <c r="A23" t="str">
        <f>"10-7-40-5-50.00 Gas  Oil &amp; Diesel Fire"</f>
        <v>10-7-40-5-50.00 Gas  Oil &amp; Diesel Fire</v>
      </c>
      <c r="B23" s="7">
        <v>4000</v>
      </c>
      <c r="C23" s="7">
        <v>2209.69</v>
      </c>
      <c r="D23" s="2" t="str">
        <f>"55.24%"</f>
        <v>55.24%</v>
      </c>
    </row>
    <row r="24" spans="1:4" x14ac:dyDescent="0.25">
      <c r="A24" t="str">
        <f>"10-7-40-5-51.01 Pump testing"</f>
        <v>10-7-40-5-51.01 Pump testing</v>
      </c>
      <c r="B24" s="7">
        <v>1500</v>
      </c>
      <c r="C24" s="7">
        <v>1375</v>
      </c>
      <c r="D24" s="2" t="str">
        <f>"91.67%"</f>
        <v>91.67%</v>
      </c>
    </row>
    <row r="25" spans="1:4" x14ac:dyDescent="0.25">
      <c r="A25" t="str">
        <f>"10-7-40-5-52.00 Fleet Maintenance"</f>
        <v>10-7-40-5-52.00 Fleet Maintenance</v>
      </c>
      <c r="B25" s="7">
        <v>10000</v>
      </c>
      <c r="C25" s="7">
        <v>22520.87</v>
      </c>
      <c r="D25" s="2" t="str">
        <f>"225.21%_x000C_"</f>
        <v>225.21%_x000C_</v>
      </c>
    </row>
    <row r="26" spans="1:4" x14ac:dyDescent="0.25">
      <c r="A26" t="str">
        <f>"10-7-40-5-52.02 Hose Testing"</f>
        <v>10-7-40-5-52.02 Hose Testing</v>
      </c>
      <c r="B26" s="7">
        <v>5500</v>
      </c>
      <c r="C26" s="7">
        <v>3899.84</v>
      </c>
      <c r="D26" s="2" t="str">
        <f>"70.91%"</f>
        <v>70.91%</v>
      </c>
    </row>
    <row r="27" spans="1:4" x14ac:dyDescent="0.25">
      <c r="A27" t="str">
        <f>"10-7-40-5-53.01 Equipment Repair"</f>
        <v>10-7-40-5-53.01 Equipment Repair</v>
      </c>
      <c r="B27" s="7">
        <v>3000</v>
      </c>
      <c r="C27" s="7">
        <v>-208.63</v>
      </c>
      <c r="D27" s="2" t="str">
        <f>"-6.95%"</f>
        <v>-6.95%</v>
      </c>
    </row>
    <row r="28" spans="1:4" x14ac:dyDescent="0.25">
      <c r="A28" t="str">
        <f>"10-7-40-5-55.00 Supplies"</f>
        <v>10-7-40-5-55.00 Supplies</v>
      </c>
      <c r="B28" s="7">
        <v>3500</v>
      </c>
      <c r="C28" s="7">
        <v>2393.3200000000002</v>
      </c>
      <c r="D28" s="2" t="str">
        <f>"68.38%"</f>
        <v>68.38%</v>
      </c>
    </row>
    <row r="29" spans="1:4" x14ac:dyDescent="0.25">
      <c r="A29" t="str">
        <f>"10-7-40-5-57.00 Equipment Purchase"</f>
        <v>10-7-40-5-57.00 Equipment Purchase</v>
      </c>
      <c r="B29" s="7">
        <v>35000</v>
      </c>
      <c r="C29" s="7">
        <v>24215.25</v>
      </c>
      <c r="D29" s="2" t="str">
        <f>"69.19%"</f>
        <v>69.19%</v>
      </c>
    </row>
    <row r="30" spans="1:4" x14ac:dyDescent="0.25">
      <c r="A30" t="str">
        <f>"10-7-40-5-80.03 2005 Engine Interest"</f>
        <v>10-7-40-5-80.03 2005 Engine Interest</v>
      </c>
      <c r="B30" s="7">
        <v>126</v>
      </c>
      <c r="C30" s="7">
        <v>-59.51</v>
      </c>
      <c r="D30" s="2" t="str">
        <f>"-47.23%"</f>
        <v>-47.23%</v>
      </c>
    </row>
    <row r="31" spans="1:4" x14ac:dyDescent="0.25">
      <c r="A31" t="str">
        <f>"10-7-40-5-80.05 2018 Engine principal"</f>
        <v>10-7-40-5-80.05 2018 Engine principal</v>
      </c>
      <c r="B31" s="7">
        <v>48572</v>
      </c>
      <c r="C31" s="7">
        <v>48572</v>
      </c>
      <c r="D31" s="2" t="str">
        <f>"100.00%"</f>
        <v>100.00%</v>
      </c>
    </row>
    <row r="32" spans="1:4" x14ac:dyDescent="0.25">
      <c r="A32" t="str">
        <f>"10-7-40-5-80.06 2018 Engine interest"</f>
        <v>10-7-40-5-80.06 2018 Engine interest</v>
      </c>
      <c r="B32" s="7">
        <v>2065</v>
      </c>
      <c r="C32" s="7">
        <v>2042.05</v>
      </c>
      <c r="D32" s="2" t="str">
        <f>"98.89%"</f>
        <v>98.89%</v>
      </c>
    </row>
    <row r="33" spans="1:4" x14ac:dyDescent="0.25">
      <c r="A33" t="str">
        <f>"10-7-90-5-90.03 2005  Engine Bond"</f>
        <v>10-7-90-5-90.03 2005  Engine Bond</v>
      </c>
      <c r="B33" s="7">
        <v>10000</v>
      </c>
      <c r="C33" s="7">
        <v>10000</v>
      </c>
      <c r="D33" s="2" t="str">
        <f>"100.00%"</f>
        <v>100.00%</v>
      </c>
    </row>
    <row r="34" spans="1:4" x14ac:dyDescent="0.25">
      <c r="A34" t="str">
        <f>"10-7-90-5-93.00 Fire Capital Reserve"</f>
        <v>10-7-90-5-93.00 Fire Capital Reserve</v>
      </c>
      <c r="B34" s="7">
        <v>220000</v>
      </c>
      <c r="C34" s="7">
        <v>220000</v>
      </c>
      <c r="D34" s="2" t="str">
        <f>"100.00%"</f>
        <v>100.00%</v>
      </c>
    </row>
    <row r="35" spans="1:4" x14ac:dyDescent="0.25">
      <c r="A35" t="str">
        <f>"10-7-90-5-93.04 Fire Safety Equip/gear Re"</f>
        <v>10-7-90-5-93.04 Fire Safety Equip/gear Re</v>
      </c>
      <c r="B35" s="7">
        <v>5000</v>
      </c>
      <c r="C35" s="7">
        <v>5000</v>
      </c>
      <c r="D35" s="2" t="str">
        <f>"100.00%"</f>
        <v>100.00%</v>
      </c>
    </row>
    <row r="36" spans="1:4" x14ac:dyDescent="0.25">
      <c r="A36" s="11" t="s">
        <v>7</v>
      </c>
      <c r="B36" s="7">
        <f>SUM(B8:B35)</f>
        <v>461718</v>
      </c>
      <c r="C36" s="7">
        <f>SUM(C8:C35)</f>
        <v>451414.24</v>
      </c>
      <c r="D36" s="13">
        <f>C36/B36</f>
        <v>0.97768386764215387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8D9E5-78AE-4FB9-B305-73D5CDA51540}">
  <dimension ref="A1:D31"/>
  <sheetViews>
    <sheetView workbookViewId="0">
      <selection activeCell="K25" sqref="K25"/>
    </sheetView>
  </sheetViews>
  <sheetFormatPr defaultRowHeight="15" x14ac:dyDescent="0.25"/>
  <cols>
    <col min="1" max="1" width="39" customWidth="1"/>
    <col min="2" max="3" width="9.140625" style="7"/>
    <col min="4" max="4" width="13.28515625" customWidth="1"/>
  </cols>
  <sheetData>
    <row r="1" spans="1:4" x14ac:dyDescent="0.25">
      <c r="A1" t="s">
        <v>0</v>
      </c>
      <c r="D1" s="2"/>
    </row>
    <row r="2" spans="1:4" x14ac:dyDescent="0.25">
      <c r="A2" t="s">
        <v>1</v>
      </c>
      <c r="D2" s="2"/>
    </row>
    <row r="3" spans="1:4" x14ac:dyDescent="0.25">
      <c r="D3" s="2" t="s">
        <v>2</v>
      </c>
    </row>
    <row r="4" spans="1:4" x14ac:dyDescent="0.25">
      <c r="B4" s="8" t="s">
        <v>3</v>
      </c>
      <c r="C4" s="8" t="s">
        <v>2</v>
      </c>
      <c r="D4" s="2" t="s">
        <v>4</v>
      </c>
    </row>
    <row r="5" spans="1:4" x14ac:dyDescent="0.25">
      <c r="A5" t="str">
        <f>"10-6-60 RECREATION REVENUE"</f>
        <v>10-6-60 RECREATION REVENUE</v>
      </c>
      <c r="D5" s="2" t="str">
        <f>""</f>
        <v/>
      </c>
    </row>
    <row r="6" spans="1:4" x14ac:dyDescent="0.25">
      <c r="A6" t="str">
        <f>"10-6-60-1-99.00 Insurance Proceeds Recrea"</f>
        <v>10-6-60-1-99.00 Insurance Proceeds Recrea</v>
      </c>
      <c r="B6" s="7">
        <v>0</v>
      </c>
      <c r="C6" s="7">
        <v>13803.46</v>
      </c>
      <c r="D6" s="2" t="str">
        <f>"100.00%"</f>
        <v>100.00%</v>
      </c>
    </row>
    <row r="7" spans="1:4" x14ac:dyDescent="0.25">
      <c r="A7" t="str">
        <f>"10-6-60-6-00.10 Recreation Field Use Fees"</f>
        <v>10-6-60-6-00.10 Recreation Field Use Fees</v>
      </c>
      <c r="B7" s="7">
        <v>0</v>
      </c>
      <c r="C7" s="7">
        <v>320</v>
      </c>
      <c r="D7" s="2" t="str">
        <f>"100.00%"</f>
        <v>100.00%</v>
      </c>
    </row>
    <row r="8" spans="1:4" x14ac:dyDescent="0.25">
      <c r="A8" s="11" t="s">
        <v>6</v>
      </c>
      <c r="B8" s="7">
        <f>SUM(B6:B7)</f>
        <v>0</v>
      </c>
      <c r="C8" s="7">
        <f>SUM(C6:C7)</f>
        <v>14123.46</v>
      </c>
      <c r="D8" s="2"/>
    </row>
    <row r="9" spans="1:4" x14ac:dyDescent="0.25">
      <c r="D9" s="3"/>
    </row>
    <row r="10" spans="1:4" x14ac:dyDescent="0.25">
      <c r="A10" t="str">
        <f>"10-7-60-0-10.00 Salaries Recreation"</f>
        <v>10-7-60-0-10.00 Salaries Recreation</v>
      </c>
      <c r="B10" s="7">
        <v>2340</v>
      </c>
      <c r="C10" s="7">
        <v>2279</v>
      </c>
      <c r="D10" s="2" t="str">
        <f>"97.39%"</f>
        <v>97.39%</v>
      </c>
    </row>
    <row r="11" spans="1:4" x14ac:dyDescent="0.25">
      <c r="A11" t="str">
        <f>"10-7-60-0-11.00 Social Security/Medicare"</f>
        <v>10-7-60-0-11.00 Social Security/Medicare</v>
      </c>
      <c r="B11" s="7">
        <v>180</v>
      </c>
      <c r="C11" s="7">
        <v>174.35</v>
      </c>
      <c r="D11" s="2" t="str">
        <f>"96.86%"</f>
        <v>96.86%</v>
      </c>
    </row>
    <row r="12" spans="1:4" x14ac:dyDescent="0.25">
      <c r="A12" t="str">
        <f>"10-7-60-1-42.01 General/PACIF Ins. Recrea"</f>
        <v>10-7-60-1-42.01 General/PACIF Ins. Recrea</v>
      </c>
      <c r="B12" s="7">
        <v>527</v>
      </c>
      <c r="C12" s="7">
        <v>760.33</v>
      </c>
      <c r="D12" s="2" t="str">
        <f>"144.28%"</f>
        <v>144.28%</v>
      </c>
    </row>
    <row r="13" spans="1:4" x14ac:dyDescent="0.25">
      <c r="A13" t="str">
        <f>"10-7-60-2-32.00 Electricity"</f>
        <v>10-7-60-2-32.00 Electricity</v>
      </c>
      <c r="B13" s="7">
        <v>750</v>
      </c>
      <c r="C13" s="7">
        <v>601.95000000000005</v>
      </c>
      <c r="D13" s="2" t="str">
        <f>"80.26%"</f>
        <v>80.26%</v>
      </c>
    </row>
    <row r="14" spans="1:4" x14ac:dyDescent="0.25">
      <c r="A14" t="str">
        <f>"10-7-60-2-33.00 Water and Sewer"</f>
        <v>10-7-60-2-33.00 Water and Sewer</v>
      </c>
      <c r="B14" s="7">
        <v>2000</v>
      </c>
      <c r="C14" s="7">
        <v>922.4</v>
      </c>
      <c r="D14" s="2" t="str">
        <f>"46.12%"</f>
        <v>46.12%</v>
      </c>
    </row>
    <row r="15" spans="1:4" x14ac:dyDescent="0.25">
      <c r="A15" t="str">
        <f>"10-7-60-2-34.00 Trash Removal"</f>
        <v>10-7-60-2-34.00 Trash Removal</v>
      </c>
      <c r="B15" s="7">
        <v>1750</v>
      </c>
      <c r="C15" s="7">
        <v>2240.5</v>
      </c>
      <c r="D15" s="2" t="str">
        <f>"128.03%"</f>
        <v>128.03%</v>
      </c>
    </row>
    <row r="16" spans="1:4" x14ac:dyDescent="0.25">
      <c r="A16" t="str">
        <f>"10-7-60-2-62.00 Maintenance"</f>
        <v>10-7-60-2-62.00 Maintenance</v>
      </c>
      <c r="B16" s="7">
        <v>3000</v>
      </c>
      <c r="C16" s="7">
        <v>5961.41</v>
      </c>
      <c r="D16" s="2" t="str">
        <f>"198.71%"</f>
        <v>198.71%</v>
      </c>
    </row>
    <row r="17" spans="1:4" x14ac:dyDescent="0.25">
      <c r="A17" t="str">
        <f>"10-7-60-2-62.01 Trails Maintenance"</f>
        <v>10-7-60-2-62.01 Trails Maintenance</v>
      </c>
      <c r="B17" s="7">
        <v>1000</v>
      </c>
      <c r="C17" s="7">
        <v>0</v>
      </c>
      <c r="D17" s="2" t="str">
        <f>"0.00%"</f>
        <v>0.00%</v>
      </c>
    </row>
    <row r="18" spans="1:4" x14ac:dyDescent="0.25">
      <c r="A18" t="str">
        <f>"10-7-60-2-62.02 Recreation Equipment"</f>
        <v>10-7-60-2-62.02 Recreation Equipment</v>
      </c>
      <c r="B18" s="7">
        <v>3000</v>
      </c>
      <c r="C18" s="7">
        <v>0</v>
      </c>
      <c r="D18" s="2" t="str">
        <f>"0.00%"</f>
        <v>0.00%</v>
      </c>
    </row>
    <row r="19" spans="1:4" x14ac:dyDescent="0.25">
      <c r="A19" t="str">
        <f>"10-7-60-2-62.03 Gardening &amp; Landscaping"</f>
        <v>10-7-60-2-62.03 Gardening &amp; Landscaping</v>
      </c>
      <c r="B19" s="7">
        <v>1000</v>
      </c>
      <c r="C19" s="7">
        <v>0</v>
      </c>
      <c r="D19" s="2" t="str">
        <f>"0.00%"</f>
        <v>0.00%</v>
      </c>
    </row>
    <row r="20" spans="1:4" x14ac:dyDescent="0.25">
      <c r="A20" t="str">
        <f>"16-7-00-0-00.01 Volunteer Green Design"</f>
        <v>16-7-00-0-00.01 Volunteer Green Design</v>
      </c>
      <c r="B20" s="7">
        <v>0</v>
      </c>
      <c r="C20" s="7">
        <v>2587.5</v>
      </c>
      <c r="D20" s="2" t="str">
        <f>"100.00%"</f>
        <v>100.00%</v>
      </c>
    </row>
    <row r="21" spans="1:4" x14ac:dyDescent="0.25">
      <c r="A21" t="str">
        <f>"10-7-90-2-92.02 Conservation Fund 1Cent"</f>
        <v>10-7-90-2-92.02 Conservation Fund 1Cent</v>
      </c>
      <c r="B21" s="7">
        <v>79359</v>
      </c>
      <c r="C21" s="7">
        <v>79359</v>
      </c>
      <c r="D21" s="2" t="str">
        <f>"100.00%"</f>
        <v>100.00%</v>
      </c>
    </row>
    <row r="22" spans="1:4" x14ac:dyDescent="0.25">
      <c r="A22" t="str">
        <f>"10-8-90-5-92.21 Lake Iroquois Association"</f>
        <v>10-8-90-5-92.21 Lake Iroquois Association</v>
      </c>
      <c r="B22" s="7">
        <v>2000</v>
      </c>
      <c r="C22" s="7">
        <v>0</v>
      </c>
      <c r="D22" s="2" t="str">
        <f>"0.00%"</f>
        <v>0.00%</v>
      </c>
    </row>
    <row r="23" spans="1:4" x14ac:dyDescent="0.25">
      <c r="A23" t="str">
        <f>"10-8-90-5-92.22 Lake Iroquois Recreation"</f>
        <v>10-8-90-5-92.22 Lake Iroquois Recreation</v>
      </c>
      <c r="B23" s="7">
        <v>2000</v>
      </c>
      <c r="C23" s="7">
        <v>1500</v>
      </c>
      <c r="D23" s="2" t="str">
        <f>"75.00%"</f>
        <v>75.00%</v>
      </c>
    </row>
    <row r="24" spans="1:4" x14ac:dyDescent="0.25">
      <c r="A24" t="str">
        <f>"10-8-90-5-95.09 Richmond Community Band"</f>
        <v>10-8-90-5-95.09 Richmond Community Band</v>
      </c>
      <c r="B24" s="7">
        <v>400</v>
      </c>
      <c r="C24" s="7">
        <v>0</v>
      </c>
      <c r="D24" s="2" t="str">
        <f>"0.00%"</f>
        <v>0.00%</v>
      </c>
    </row>
    <row r="25" spans="1:4" x14ac:dyDescent="0.25">
      <c r="A25" t="str">
        <f>"10-8-90-5-95.21 Richmond Farmers Market"</f>
        <v>10-8-90-5-95.21 Richmond Farmers Market</v>
      </c>
      <c r="B25" s="7">
        <v>2500</v>
      </c>
      <c r="C25" s="7">
        <v>2500</v>
      </c>
      <c r="D25" s="2" t="str">
        <f>"100.00%"</f>
        <v>100.00%</v>
      </c>
    </row>
    <row r="26" spans="1:4" x14ac:dyDescent="0.25">
      <c r="A26" t="str">
        <f>"10-7-60-3-95.00 Conservation Comm Supplie"</f>
        <v>10-7-60-3-95.00 Conservation Comm Supplie</v>
      </c>
      <c r="B26" s="7">
        <v>500</v>
      </c>
      <c r="C26" s="7">
        <v>0</v>
      </c>
      <c r="D26" s="2" t="str">
        <f>"0.00%"</f>
        <v>0.00%</v>
      </c>
    </row>
    <row r="27" spans="1:4" x14ac:dyDescent="0.25">
      <c r="A27" t="str">
        <f>"10-7-60-3-95.01 Special Events"</f>
        <v>10-7-60-3-95.01 Special Events</v>
      </c>
      <c r="B27" s="7">
        <v>500</v>
      </c>
      <c r="C27" s="7">
        <v>0</v>
      </c>
      <c r="D27" s="2" t="str">
        <f>"0.00%"</f>
        <v>0.00%</v>
      </c>
    </row>
    <row r="28" spans="1:4" x14ac:dyDescent="0.25">
      <c r="A28" t="str">
        <f>"10-7-60-3-95.04 July 4th / Fireworks"</f>
        <v>10-7-60-3-95.04 July 4th / Fireworks</v>
      </c>
      <c r="B28" s="7">
        <v>15000</v>
      </c>
      <c r="C28" s="7">
        <v>13000</v>
      </c>
      <c r="D28" s="2" t="str">
        <f>"86.67%"</f>
        <v>86.67%</v>
      </c>
    </row>
    <row r="29" spans="1:4" x14ac:dyDescent="0.25">
      <c r="A29" t="str">
        <f>"10-7-60-3-95.05 Cammels Hump Little Leagu"</f>
        <v>10-7-60-3-95.05 Cammels Hump Little Leagu</v>
      </c>
      <c r="B29" s="7">
        <v>3000</v>
      </c>
      <c r="C29" s="7">
        <v>3000</v>
      </c>
      <c r="D29" s="2" t="str">
        <f>"100.00%"</f>
        <v>100.00%</v>
      </c>
    </row>
    <row r="30" spans="1:4" x14ac:dyDescent="0.25">
      <c r="A30" t="str">
        <f>"10-7-60-3-95.06 Halloween on the Green"</f>
        <v>10-7-60-3-95.06 Halloween on the Green</v>
      </c>
      <c r="B30" s="7">
        <v>350</v>
      </c>
      <c r="C30" s="7">
        <v>0</v>
      </c>
      <c r="D30" s="2" t="str">
        <f>"0.00%"</f>
        <v>0.00%</v>
      </c>
    </row>
    <row r="31" spans="1:4" x14ac:dyDescent="0.25">
      <c r="A31" s="12" t="s">
        <v>7</v>
      </c>
      <c r="B31" s="7">
        <f>SUM(B10:B30)</f>
        <v>121156</v>
      </c>
      <c r="C31" s="7">
        <f>SUM(C10:C30)</f>
        <v>114886.44</v>
      </c>
      <c r="D31" s="1">
        <f>C31/B31</f>
        <v>0.94825217075505963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E010D4-4032-4C2F-9B13-ED4452414045}">
  <dimension ref="A4:D24"/>
  <sheetViews>
    <sheetView topLeftCell="A7" workbookViewId="0">
      <selection activeCell="F30" sqref="F30"/>
    </sheetView>
  </sheetViews>
  <sheetFormatPr defaultRowHeight="15" x14ac:dyDescent="0.25"/>
  <cols>
    <col min="1" max="1" width="55" style="4" customWidth="1"/>
    <col min="2" max="2" width="9.140625" style="6"/>
    <col min="3" max="3" width="16.42578125" style="6" customWidth="1"/>
    <col min="4" max="4" width="14.42578125" style="4" customWidth="1"/>
    <col min="5" max="16384" width="9.140625" style="4"/>
  </cols>
  <sheetData>
    <row r="4" spans="1:4" customFormat="1" x14ac:dyDescent="0.25">
      <c r="A4" t="s">
        <v>0</v>
      </c>
      <c r="B4" s="7"/>
      <c r="C4" s="7"/>
      <c r="D4" s="2"/>
    </row>
    <row r="5" spans="1:4" customFormat="1" x14ac:dyDescent="0.25">
      <c r="A5" t="s">
        <v>1</v>
      </c>
      <c r="B5" s="7"/>
      <c r="C5" s="7"/>
      <c r="D5" s="2"/>
    </row>
    <row r="6" spans="1:4" customFormat="1" x14ac:dyDescent="0.25">
      <c r="B6" s="7"/>
      <c r="C6" s="7"/>
      <c r="D6" s="2" t="s">
        <v>2</v>
      </c>
    </row>
    <row r="7" spans="1:4" customFormat="1" x14ac:dyDescent="0.25">
      <c r="B7" s="8" t="s">
        <v>3</v>
      </c>
      <c r="C7" s="8" t="s">
        <v>2</v>
      </c>
      <c r="D7" s="2" t="s">
        <v>4</v>
      </c>
    </row>
    <row r="8" spans="1:4" x14ac:dyDescent="0.25">
      <c r="A8" s="4" t="str">
        <f>"10-8-90-5-95.01 VT Family Network"</f>
        <v>10-8-90-5-95.01 VT Family Network</v>
      </c>
      <c r="B8" s="6">
        <v>500</v>
      </c>
      <c r="C8" s="6">
        <v>0</v>
      </c>
      <c r="D8" s="5" t="str">
        <f>"0.00%"</f>
        <v>0.00%</v>
      </c>
    </row>
    <row r="9" spans="1:4" x14ac:dyDescent="0.25">
      <c r="A9" s="4" t="str">
        <f>"10-8-90-5-95.02 Age Well"</f>
        <v>10-8-90-5-95.02 Age Well</v>
      </c>
      <c r="B9" s="6">
        <v>3500</v>
      </c>
      <c r="C9" s="6">
        <v>0</v>
      </c>
      <c r="D9" s="5" t="str">
        <f>"0.00%"</f>
        <v>0.00%</v>
      </c>
    </row>
    <row r="10" spans="1:4" x14ac:dyDescent="0.25">
      <c r="A10" s="4" t="str">
        <f>"10-8-90-5-95.10 Richmond Rescue"</f>
        <v>10-8-90-5-95.10 Richmond Rescue</v>
      </c>
      <c r="B10" s="6">
        <v>58338</v>
      </c>
      <c r="C10" s="6">
        <v>58338</v>
      </c>
      <c r="D10" s="5" t="str">
        <f>"100.00%"</f>
        <v>100.00%</v>
      </c>
    </row>
    <row r="11" spans="1:4" x14ac:dyDescent="0.25">
      <c r="A11" s="4" t="str">
        <f>"10-8-90-5-95.12 Transportation Svcs -SSTA"</f>
        <v>10-8-90-5-95.12 Transportation Svcs -SSTA</v>
      </c>
      <c r="B11" s="6">
        <v>3000</v>
      </c>
      <c r="C11" s="6">
        <v>3016.88</v>
      </c>
      <c r="D11" s="5" t="str">
        <f>"100.56%"</f>
        <v>100.56%</v>
      </c>
    </row>
    <row r="12" spans="1:4" x14ac:dyDescent="0.25">
      <c r="A12" s="4" t="str">
        <f>"10-8-90-5-95.13 UVM Home Health &amp; Hospice"</f>
        <v>10-8-90-5-95.13 UVM Home Health &amp; Hospice</v>
      </c>
      <c r="B12" s="6">
        <v>12500</v>
      </c>
      <c r="C12" s="6">
        <v>12500</v>
      </c>
      <c r="D12" s="5" t="str">
        <f>"100.00%"</f>
        <v>100.00%</v>
      </c>
    </row>
    <row r="13" spans="1:4" x14ac:dyDescent="0.25">
      <c r="A13" s="4" t="str">
        <f>"10-8-90-5-95.14 VT Center f/Indepen't Liv"</f>
        <v>10-8-90-5-95.14 VT Center f/Indepen't Liv</v>
      </c>
      <c r="B13" s="6">
        <v>375</v>
      </c>
      <c r="C13" s="6">
        <v>0</v>
      </c>
      <c r="D13" s="5" t="str">
        <f>"0.00%"</f>
        <v>0.00%</v>
      </c>
    </row>
    <row r="14" spans="1:4" x14ac:dyDescent="0.25">
      <c r="A14" s="4" t="str">
        <f>"10-8-90-5-95.16 COTS"</f>
        <v>10-8-90-5-95.16 COTS</v>
      </c>
      <c r="B14" s="6">
        <v>1000</v>
      </c>
      <c r="C14" s="6">
        <v>0</v>
      </c>
      <c r="D14" s="5" t="str">
        <f>"0.00%"</f>
        <v>0.00%</v>
      </c>
    </row>
    <row r="15" spans="1:4" x14ac:dyDescent="0.25">
      <c r="A15" s="4" t="str">
        <f>"10-8-90-5-95.17 OCCC"</f>
        <v>10-8-90-5-95.17 OCCC</v>
      </c>
      <c r="B15" s="6">
        <v>3000</v>
      </c>
      <c r="C15" s="6">
        <v>3000</v>
      </c>
      <c r="D15" s="5" t="str">
        <f>"100.00%"</f>
        <v>100.00%</v>
      </c>
    </row>
    <row r="16" spans="1:4" x14ac:dyDescent="0.25">
      <c r="A16" s="4" t="str">
        <f>"10-8-90-5-95.18 Step against domestic vio"</f>
        <v>10-8-90-5-95.18 Step against domestic vio</v>
      </c>
      <c r="B16" s="6">
        <v>1500</v>
      </c>
      <c r="C16" s="6">
        <v>0</v>
      </c>
      <c r="D16" s="5" t="str">
        <f>"0.00%"</f>
        <v>0.00%</v>
      </c>
    </row>
    <row r="17" spans="1:4" x14ac:dyDescent="0.25">
      <c r="A17" s="4" t="str">
        <f>"10-8-90-5-95.22 Turning Point Center"</f>
        <v>10-8-90-5-95.22 Turning Point Center</v>
      </c>
      <c r="B17" s="6">
        <v>5000</v>
      </c>
      <c r="C17" s="6">
        <v>5000</v>
      </c>
      <c r="D17" s="5" t="str">
        <f>"100.00%"</f>
        <v>100.00%</v>
      </c>
    </row>
    <row r="18" spans="1:4" x14ac:dyDescent="0.25">
      <c r="A18" s="4" t="str">
        <f>"10-8-90-5-95.23 Hope Works"</f>
        <v>10-8-90-5-95.23 Hope Works</v>
      </c>
      <c r="B18" s="6">
        <v>1885</v>
      </c>
      <c r="C18" s="6">
        <v>0</v>
      </c>
      <c r="D18" s="5" t="str">
        <f>"0.00%"</f>
        <v>0.00%</v>
      </c>
    </row>
    <row r="19" spans="1:4" x14ac:dyDescent="0.25">
      <c r="A19" s="4" t="str">
        <f>"10-7-20-5-50.01 Comm Outreach Howard Ctr"</f>
        <v>10-7-20-5-50.01 Comm Outreach Howard Ctr</v>
      </c>
      <c r="B19" s="6">
        <v>10000</v>
      </c>
      <c r="C19" s="6">
        <v>10490</v>
      </c>
      <c r="D19" s="5" t="str">
        <f>"104.90%"</f>
        <v>104.90%</v>
      </c>
    </row>
    <row r="20" spans="1:4" x14ac:dyDescent="0.25">
      <c r="A20" s="4" t="str">
        <f>"10-7-20-4-00.00 Williston Comm Justice Ct"</f>
        <v>10-7-20-4-00.00 Williston Comm Justice Ct</v>
      </c>
      <c r="B20" s="6">
        <v>15840</v>
      </c>
      <c r="C20" s="6">
        <v>0</v>
      </c>
      <c r="D20" s="5" t="str">
        <f>"0.00%"</f>
        <v>0.00%</v>
      </c>
    </row>
    <row r="21" spans="1:4" x14ac:dyDescent="0.25">
      <c r="A21" s="9" t="s">
        <v>5</v>
      </c>
      <c r="B21" s="6">
        <f>SUM(B8:B20)</f>
        <v>116438</v>
      </c>
      <c r="C21" s="6">
        <f>SUM(C8:C20)</f>
        <v>92344.88</v>
      </c>
      <c r="D21" s="10">
        <f>C21/B21</f>
        <v>0.7930819835448909</v>
      </c>
    </row>
    <row r="22" spans="1:4" x14ac:dyDescent="0.25">
      <c r="D22" s="5"/>
    </row>
    <row r="23" spans="1:4" x14ac:dyDescent="0.25">
      <c r="D23" s="5"/>
    </row>
    <row r="24" spans="1:4" x14ac:dyDescent="0.25">
      <c r="D24" s="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D63605-0EB5-4903-9628-D6C94CB3C514}">
  <dimension ref="A5:K84"/>
  <sheetViews>
    <sheetView topLeftCell="A64" workbookViewId="0">
      <selection activeCell="F33" sqref="F33"/>
    </sheetView>
  </sheetViews>
  <sheetFormatPr defaultRowHeight="15" x14ac:dyDescent="0.25"/>
  <cols>
    <col min="1" max="1" width="44.85546875" customWidth="1"/>
    <col min="2" max="2" width="19.42578125" style="7" customWidth="1"/>
    <col min="3" max="3" width="16.28515625" style="7" customWidth="1"/>
    <col min="4" max="4" width="15.85546875" customWidth="1"/>
  </cols>
  <sheetData>
    <row r="5" spans="1:4" x14ac:dyDescent="0.25">
      <c r="A5" t="str">
        <f>"11-6-01-1-01.10 Property Tax Revenue"</f>
        <v>11-6-01-1-01.10 Property Tax Revenue</v>
      </c>
      <c r="B5" s="7">
        <v>1849945</v>
      </c>
      <c r="C5" s="7">
        <v>1849945</v>
      </c>
      <c r="D5" s="2" t="str">
        <f>"100.00%"</f>
        <v>100.00%</v>
      </c>
    </row>
    <row r="6" spans="1:4" x14ac:dyDescent="0.25">
      <c r="A6" t="str">
        <f>"11-6-02-2-05.10 State Aid Class 1 &amp; 2"</f>
        <v>11-6-02-2-05.10 State Aid Class 1 &amp; 2</v>
      </c>
      <c r="B6" s="7">
        <v>113500</v>
      </c>
      <c r="C6" s="7">
        <v>128428.11</v>
      </c>
      <c r="D6" s="2" t="str">
        <f>"113.15%"</f>
        <v>113.15%</v>
      </c>
    </row>
    <row r="7" spans="1:4" x14ac:dyDescent="0.25">
      <c r="A7" t="str">
        <f>"11-6-02-2-05.11 Hwy Sale of Town Property"</f>
        <v>11-6-02-2-05.11 Hwy Sale of Town Property</v>
      </c>
      <c r="B7" s="7">
        <v>0</v>
      </c>
      <c r="C7" s="7">
        <v>3111</v>
      </c>
      <c r="D7" s="2" t="str">
        <f>"100.00%"</f>
        <v>100.00%</v>
      </c>
    </row>
    <row r="8" spans="1:4" x14ac:dyDescent="0.25">
      <c r="A8" t="str">
        <f>"11-6-50-0-01.10 Overweight Permits"</f>
        <v>11-6-50-0-01.10 Overweight Permits</v>
      </c>
      <c r="B8" s="7">
        <v>1500</v>
      </c>
      <c r="C8" s="7">
        <v>1287</v>
      </c>
      <c r="D8" s="2" t="str">
        <f>"85.80%"</f>
        <v>85.80%</v>
      </c>
    </row>
    <row r="9" spans="1:4" x14ac:dyDescent="0.25">
      <c r="A9" t="str">
        <f>"11-6-50-0-01.11 Access Permits"</f>
        <v>11-6-50-0-01.11 Access Permits</v>
      </c>
      <c r="B9" s="7">
        <v>500</v>
      </c>
      <c r="C9" s="7">
        <v>575</v>
      </c>
      <c r="D9" s="2" t="str">
        <f>"115.00%"</f>
        <v>115.00%</v>
      </c>
    </row>
    <row r="10" spans="1:4" x14ac:dyDescent="0.25">
      <c r="A10" t="str">
        <f>"11-6-50-0-01.12 Public Right of Way Permi"</f>
        <v>11-6-50-0-01.12 Public Right of Way Permi</v>
      </c>
      <c r="B10" s="7">
        <v>500</v>
      </c>
      <c r="C10" s="7">
        <v>2880</v>
      </c>
      <c r="D10" s="2" t="str">
        <f>"576.00%"</f>
        <v>576.00%</v>
      </c>
    </row>
    <row r="11" spans="1:4" x14ac:dyDescent="0.25">
      <c r="A11" t="str">
        <f>"11-6-50-1-40.04 Insurance Proceeds Highwa"</f>
        <v>11-6-50-1-40.04 Insurance Proceeds Highwa</v>
      </c>
      <c r="B11" s="7">
        <v>0</v>
      </c>
      <c r="C11" s="7">
        <v>3562.49</v>
      </c>
      <c r="D11" s="2" t="str">
        <f>"100.00%"</f>
        <v>100.00%</v>
      </c>
    </row>
    <row r="12" spans="1:4" x14ac:dyDescent="0.25">
      <c r="A12" t="str">
        <f>"11-6-50-1-99.10 Misc Revenue Highway"</f>
        <v>11-6-50-1-99.10 Misc Revenue Highway</v>
      </c>
      <c r="B12" s="7">
        <v>0</v>
      </c>
      <c r="C12" s="7">
        <v>1705.62</v>
      </c>
      <c r="D12" s="2" t="str">
        <f>"100.00%"</f>
        <v>100.00%</v>
      </c>
    </row>
    <row r="13" spans="1:4" x14ac:dyDescent="0.25">
      <c r="A13" s="11" t="s">
        <v>6</v>
      </c>
      <c r="B13" s="7">
        <f>SUM(B5:B12)</f>
        <v>1965945</v>
      </c>
      <c r="C13" s="7">
        <f>SUM(C5:C12)</f>
        <v>1991494.2200000002</v>
      </c>
      <c r="D13" s="3">
        <f>C13/B13</f>
        <v>1.0129958976471876</v>
      </c>
    </row>
    <row r="14" spans="1:4" x14ac:dyDescent="0.25">
      <c r="D14" s="2"/>
    </row>
    <row r="15" spans="1:4" x14ac:dyDescent="0.25">
      <c r="A15" t="str">
        <f>"11-7-50-0-10.00 Salaries Highway"</f>
        <v>11-7-50-0-10.00 Salaries Highway</v>
      </c>
      <c r="B15" s="7">
        <v>412443</v>
      </c>
      <c r="C15" s="7">
        <v>360277.2</v>
      </c>
      <c r="D15" s="2" t="str">
        <f>"87.35%"</f>
        <v>87.35%</v>
      </c>
    </row>
    <row r="16" spans="1:4" x14ac:dyDescent="0.25">
      <c r="A16" t="str">
        <f>"11-7-50-0-10.02 Bonus Max Years - Highway"</f>
        <v>11-7-50-0-10.02 Bonus Max Years - Highway</v>
      </c>
      <c r="B16" s="7">
        <v>2459</v>
      </c>
      <c r="C16" s="7">
        <v>2217.38</v>
      </c>
      <c r="D16" s="2" t="str">
        <f>"90.17%"</f>
        <v>90.17%</v>
      </c>
    </row>
    <row r="17" spans="1:4" x14ac:dyDescent="0.25">
      <c r="A17" t="str">
        <f>"11-7-50-0-10.30 Health Ins Opt Out Highwa"</f>
        <v>11-7-50-0-10.30 Health Ins Opt Out Highwa</v>
      </c>
      <c r="B17" s="7">
        <v>12500</v>
      </c>
      <c r="C17" s="7">
        <v>13269.37</v>
      </c>
      <c r="D17" s="2" t="str">
        <f>"106.15%"</f>
        <v>106.15%</v>
      </c>
    </row>
    <row r="18" spans="1:4" x14ac:dyDescent="0.25">
      <c r="A18" t="str">
        <f>"11-7-50-0-10.98 Overtime Highway"</f>
        <v>11-7-50-0-10.98 Overtime Highway</v>
      </c>
      <c r="B18" s="7">
        <v>50000</v>
      </c>
      <c r="C18" s="7">
        <v>79676.5</v>
      </c>
      <c r="D18" s="2" t="str">
        <f>"159.35%"</f>
        <v>159.35%</v>
      </c>
    </row>
    <row r="19" spans="1:4" x14ac:dyDescent="0.25">
      <c r="A19" t="str">
        <f>"11-7-50-0-11.00 SS/Medicare Hwy"</f>
        <v>11-7-50-0-11.00 SS/Medicare Hwy</v>
      </c>
      <c r="B19" s="7">
        <v>36760</v>
      </c>
      <c r="C19" s="7">
        <v>33533.230000000003</v>
      </c>
      <c r="D19" s="2" t="str">
        <f>"91.22%"</f>
        <v>91.22%</v>
      </c>
    </row>
    <row r="20" spans="1:4" x14ac:dyDescent="0.25">
      <c r="A20" t="str">
        <f>"11-7-50-0-11.02 Child Care Contribution H"</f>
        <v>11-7-50-0-11.02 Child Care Contribution H</v>
      </c>
      <c r="B20" s="7">
        <v>0</v>
      </c>
      <c r="C20" s="7">
        <v>1861.52</v>
      </c>
      <c r="D20" s="2" t="str">
        <f>"100.00%"</f>
        <v>100.00%</v>
      </c>
    </row>
    <row r="21" spans="1:4" x14ac:dyDescent="0.25">
      <c r="A21" t="str">
        <f>"11-7-50-0-12.00 VMERS Hwy"</f>
        <v>11-7-50-0-12.00 VMERS Hwy</v>
      </c>
      <c r="B21" s="7">
        <v>31638</v>
      </c>
      <c r="C21" s="7">
        <v>31505.47</v>
      </c>
      <c r="D21" s="2" t="str">
        <f>"99.58%"</f>
        <v>99.58%</v>
      </c>
    </row>
    <row r="22" spans="1:4" x14ac:dyDescent="0.25">
      <c r="A22" t="str">
        <f>"11-7-50-0-15.00 Health/Dental Ins Hwy"</f>
        <v>11-7-50-0-15.00 Health/Dental Ins Hwy</v>
      </c>
      <c r="B22" s="7">
        <v>63481</v>
      </c>
      <c r="C22" s="7">
        <v>57115.32</v>
      </c>
      <c r="D22" s="2" t="str">
        <f>"89.97%"</f>
        <v>89.97%</v>
      </c>
    </row>
    <row r="23" spans="1:4" x14ac:dyDescent="0.25">
      <c r="A23" t="str">
        <f>"11-7-10-0-15.03 Long Term Disability"</f>
        <v>11-7-10-0-15.03 Long Term Disability</v>
      </c>
      <c r="B23" s="7">
        <v>2970</v>
      </c>
      <c r="C23" s="7">
        <v>2270.91</v>
      </c>
      <c r="D23" s="2" t="str">
        <f>"76.46%"</f>
        <v>76.46%</v>
      </c>
    </row>
    <row r="24" spans="1:4" x14ac:dyDescent="0.25">
      <c r="A24" t="str">
        <f>"11-7-50-0-16.00 Uniforms"</f>
        <v>11-7-50-0-16.00 Uniforms</v>
      </c>
      <c r="B24" s="7">
        <v>3500</v>
      </c>
      <c r="C24" s="7">
        <v>3353.04</v>
      </c>
      <c r="D24" s="2" t="str">
        <f>"95.80%"</f>
        <v>95.80%</v>
      </c>
    </row>
    <row r="25" spans="1:4" x14ac:dyDescent="0.25">
      <c r="A25" t="str">
        <f>"11-7-50-1-20.00 Office Supplies"</f>
        <v>11-7-50-1-20.00 Office Supplies</v>
      </c>
      <c r="B25" s="7">
        <v>1000</v>
      </c>
      <c r="C25" s="7">
        <v>305.49</v>
      </c>
      <c r="D25" s="2" t="str">
        <f>"30.55%"</f>
        <v>30.55%</v>
      </c>
    </row>
    <row r="26" spans="1:4" x14ac:dyDescent="0.25">
      <c r="A26" t="str">
        <f>"11-7-50-1-29.00 Travel"</f>
        <v>11-7-50-1-29.00 Travel</v>
      </c>
      <c r="B26" s="7">
        <v>200</v>
      </c>
      <c r="C26" s="7">
        <v>46.9</v>
      </c>
      <c r="D26" s="2" t="str">
        <f>"23.45%"</f>
        <v>23.45%</v>
      </c>
    </row>
    <row r="27" spans="1:4" x14ac:dyDescent="0.25">
      <c r="A27" t="str">
        <f>"11-7-50-1-30.00 Telephone/Internet Highwa"</f>
        <v>11-7-50-1-30.00 Telephone/Internet Highwa</v>
      </c>
      <c r="B27" s="7">
        <v>2800</v>
      </c>
      <c r="C27" s="7">
        <v>3473.67</v>
      </c>
      <c r="D27" s="2" t="str">
        <f>"124.06%"</f>
        <v>124.06%</v>
      </c>
    </row>
    <row r="28" spans="1:4" x14ac:dyDescent="0.25">
      <c r="A28" t="str">
        <f>"11-7-50-1-30.01 Cell Phones Highway"</f>
        <v>11-7-50-1-30.01 Cell Phones Highway</v>
      </c>
      <c r="B28" s="7">
        <v>1000</v>
      </c>
      <c r="C28" s="7">
        <v>928.28</v>
      </c>
      <c r="D28" s="2" t="str">
        <f>"92.83%"</f>
        <v>92.83%</v>
      </c>
    </row>
    <row r="29" spans="1:4" x14ac:dyDescent="0.25">
      <c r="A29" t="str">
        <f>"11-7-50-2-29.00 Education / Licenses"</f>
        <v>11-7-50-2-29.00 Education / Licenses</v>
      </c>
      <c r="B29" s="7">
        <v>200</v>
      </c>
      <c r="C29" s="7">
        <v>4773</v>
      </c>
      <c r="D29" s="2" t="str">
        <f>"2 386.50%"</f>
        <v>2 386.50%</v>
      </c>
    </row>
    <row r="30" spans="1:4" x14ac:dyDescent="0.25">
      <c r="A30" t="str">
        <f>"11-7-50-2-29.01 General Ins/VLCT PACIF Hw"</f>
        <v>11-7-50-2-29.01 General Ins/VLCT PACIF Hw</v>
      </c>
      <c r="B30" s="7">
        <v>33623</v>
      </c>
      <c r="C30" s="7">
        <v>37732.94</v>
      </c>
      <c r="D30" s="2" t="str">
        <f>"112.22%"</f>
        <v>112.22%</v>
      </c>
    </row>
    <row r="31" spans="1:4" x14ac:dyDescent="0.25">
      <c r="A31" t="str">
        <f>"11-7-50-2-31.00 Heat"</f>
        <v>11-7-50-2-31.00 Heat</v>
      </c>
      <c r="B31" s="7">
        <v>9000</v>
      </c>
      <c r="C31" s="7">
        <v>7677.61</v>
      </c>
      <c r="D31" s="2" t="str">
        <f>"85.31%"</f>
        <v>85.31%</v>
      </c>
    </row>
    <row r="32" spans="1:4" x14ac:dyDescent="0.25">
      <c r="A32" t="str">
        <f>"11-7-50-2-32.00 Electricity"</f>
        <v>11-7-50-2-32.00 Electricity</v>
      </c>
      <c r="B32" s="7">
        <v>3000</v>
      </c>
      <c r="C32" s="7">
        <v>2419.0300000000002</v>
      </c>
      <c r="D32" s="2" t="str">
        <f>"80.63%"</f>
        <v>80.63%</v>
      </c>
    </row>
    <row r="33" spans="1:4" x14ac:dyDescent="0.25">
      <c r="A33" t="str">
        <f>"11-7-50-2-33.00 Water and Sewer"</f>
        <v>11-7-50-2-33.00 Water and Sewer</v>
      </c>
      <c r="B33" s="7">
        <v>2000</v>
      </c>
      <c r="C33" s="7">
        <v>1259.67</v>
      </c>
      <c r="D33" s="2" t="str">
        <f>"62.98%"</f>
        <v>62.98%</v>
      </c>
    </row>
    <row r="34" spans="1:4" x14ac:dyDescent="0.25">
      <c r="A34" t="str">
        <f>"11-7-50-2-34.00 Trash Removal"</f>
        <v>11-7-50-2-34.00 Trash Removal</v>
      </c>
      <c r="B34" s="7">
        <v>1800</v>
      </c>
      <c r="C34" s="7">
        <v>1479.63</v>
      </c>
      <c r="D34" s="2" t="str">
        <f>"82.20%"</f>
        <v>82.20%</v>
      </c>
    </row>
    <row r="35" spans="1:4" x14ac:dyDescent="0.25">
      <c r="A35" t="str">
        <f>"11-7-50-2-62.00 Garage Maintenance"</f>
        <v>11-7-50-2-62.00 Garage Maintenance</v>
      </c>
      <c r="B35" s="7">
        <v>8000</v>
      </c>
      <c r="C35" s="7">
        <v>7455.32</v>
      </c>
      <c r="D35" s="2" t="str">
        <f>"93.19%"</f>
        <v>93.19%</v>
      </c>
    </row>
    <row r="36" spans="1:4" x14ac:dyDescent="0.25">
      <c r="A36" t="str">
        <f>"11-7-50-3-32.01 Street Lights"</f>
        <v>11-7-50-3-32.01 Street Lights</v>
      </c>
      <c r="B36" s="7">
        <v>16000</v>
      </c>
      <c r="C36" s="7">
        <v>12886.94</v>
      </c>
      <c r="D36" s="2" t="str">
        <f>"80.54%"</f>
        <v>80.54%</v>
      </c>
    </row>
    <row r="37" spans="1:4" x14ac:dyDescent="0.25">
      <c r="A37" t="str">
        <f>"11-7-50-5-35.00 Radio"</f>
        <v>11-7-50-5-35.00 Radio</v>
      </c>
      <c r="B37" s="7">
        <v>600</v>
      </c>
      <c r="C37" s="7">
        <v>0</v>
      </c>
      <c r="D37" s="2" t="str">
        <f>"0.00%"</f>
        <v>0.00%</v>
      </c>
    </row>
    <row r="38" spans="1:4" x14ac:dyDescent="0.25">
      <c r="A38" t="str">
        <f>"11-7-50-5-35.01 Radio Repair"</f>
        <v>11-7-50-5-35.01 Radio Repair</v>
      </c>
      <c r="B38" s="7">
        <v>300</v>
      </c>
      <c r="C38" s="7">
        <v>278.18</v>
      </c>
      <c r="D38" s="2" t="str">
        <f>"92.73%"</f>
        <v>92.73%</v>
      </c>
    </row>
    <row r="39" spans="1:4" x14ac:dyDescent="0.25">
      <c r="A39" t="str">
        <f>"11-7-50-5-50.00 Gas &amp; Oil Hwy"</f>
        <v>11-7-50-5-50.00 Gas &amp; Oil Hwy</v>
      </c>
      <c r="B39" s="7">
        <v>2000</v>
      </c>
      <c r="C39" s="7">
        <v>1719.56</v>
      </c>
      <c r="D39" s="2" t="str">
        <f>"85.98%"</f>
        <v>85.98%</v>
      </c>
    </row>
    <row r="40" spans="1:4" x14ac:dyDescent="0.25">
      <c r="A40" t="str">
        <f>"11-7-50-5-50.02 Diesel Fuel"</f>
        <v>11-7-50-5-50.02 Diesel Fuel</v>
      </c>
      <c r="B40" s="7">
        <v>60000</v>
      </c>
      <c r="C40" s="7">
        <v>45735.59</v>
      </c>
      <c r="D40" s="2" t="str">
        <f>"76.23%"</f>
        <v>76.23%</v>
      </c>
    </row>
    <row r="41" spans="1:4" x14ac:dyDescent="0.25">
      <c r="A41" t="str">
        <f>"11-7-50-5-52.00 Fleet Repair Trucks"</f>
        <v>11-7-50-5-52.00 Fleet Repair Trucks</v>
      </c>
      <c r="B41" s="7">
        <v>15000</v>
      </c>
      <c r="C41" s="7">
        <v>18601.060000000001</v>
      </c>
      <c r="D41" s="2" t="str">
        <f>"124.01%"</f>
        <v>124.01%</v>
      </c>
    </row>
    <row r="42" spans="1:4" x14ac:dyDescent="0.25">
      <c r="A42" t="str">
        <f>"11-7-50-5-52.01 Excavator Repair"</f>
        <v>11-7-50-5-52.01 Excavator Repair</v>
      </c>
      <c r="B42" s="7">
        <v>500</v>
      </c>
      <c r="C42" s="7">
        <v>795.1</v>
      </c>
      <c r="D42" s="2" t="str">
        <f>"159.02%"</f>
        <v>159.02%</v>
      </c>
    </row>
    <row r="43" spans="1:4" x14ac:dyDescent="0.25">
      <c r="A43" t="str">
        <f>"11-7-50-5-52.03 Winter Maint.Attachments"</f>
        <v>11-7-50-5-52.03 Winter Maint.Attachments</v>
      </c>
      <c r="B43" s="7">
        <v>500</v>
      </c>
      <c r="C43" s="7">
        <v>327.56</v>
      </c>
      <c r="D43" s="2" t="str">
        <f>"65.51%"</f>
        <v>65.51%</v>
      </c>
    </row>
    <row r="44" spans="1:4" x14ac:dyDescent="0.25">
      <c r="A44" t="str">
        <f>"11-7-50-5-52.04 Grader Repair"</f>
        <v>11-7-50-5-52.04 Grader Repair</v>
      </c>
      <c r="B44" s="7">
        <v>1000</v>
      </c>
      <c r="C44" s="7">
        <v>0</v>
      </c>
      <c r="D44" s="2" t="str">
        <f>"0.00%_x000C_"</f>
        <v>0.00%_x000C_</v>
      </c>
    </row>
    <row r="45" spans="1:4" x14ac:dyDescent="0.25">
      <c r="A45" t="str">
        <f>"11-7-50-5-52.05 Loader Repair"</f>
        <v>11-7-50-5-52.05 Loader Repair</v>
      </c>
      <c r="B45" s="7">
        <v>500</v>
      </c>
      <c r="C45" s="7">
        <v>332.38</v>
      </c>
      <c r="D45" s="2" t="str">
        <f>"66.48%"</f>
        <v>66.48%</v>
      </c>
    </row>
    <row r="46" spans="1:4" x14ac:dyDescent="0.25">
      <c r="A46" t="str">
        <f>"11-7-50-5-52.06 Pickup Repair"</f>
        <v>11-7-50-5-52.06 Pickup Repair</v>
      </c>
      <c r="B46" s="7">
        <v>1000</v>
      </c>
      <c r="C46" s="7">
        <v>65.069999999999993</v>
      </c>
      <c r="D46" s="2" t="str">
        <f>"6.51%"</f>
        <v>6.51%</v>
      </c>
    </row>
    <row r="47" spans="1:4" x14ac:dyDescent="0.25">
      <c r="A47" t="str">
        <f>"11-7-50-5-52.07 Park Mower"</f>
        <v>11-7-50-5-52.07 Park Mower</v>
      </c>
      <c r="B47" s="7">
        <v>500</v>
      </c>
      <c r="C47" s="7">
        <v>201.52</v>
      </c>
      <c r="D47" s="2" t="str">
        <f>"40.30%"</f>
        <v>40.30%</v>
      </c>
    </row>
    <row r="48" spans="1:4" x14ac:dyDescent="0.25">
      <c r="A48" t="str">
        <f>"11-7-50-5-52.08 Roadside Mower"</f>
        <v>11-7-50-5-52.08 Roadside Mower</v>
      </c>
      <c r="B48" s="7">
        <v>1000</v>
      </c>
      <c r="C48" s="7">
        <v>350.92</v>
      </c>
      <c r="D48" s="2" t="str">
        <f>"35.09%"</f>
        <v>35.09%</v>
      </c>
    </row>
    <row r="49" spans="1:11" x14ac:dyDescent="0.25">
      <c r="A49" t="str">
        <f>"11-7-50-5-52.09 Tractor Repair"</f>
        <v>11-7-50-5-52.09 Tractor Repair</v>
      </c>
      <c r="B49" s="7">
        <v>500</v>
      </c>
      <c r="C49" s="7">
        <v>0</v>
      </c>
      <c r="D49" s="2" t="str">
        <f>"0.00%"</f>
        <v>0.00%</v>
      </c>
    </row>
    <row r="50" spans="1:11" x14ac:dyDescent="0.25">
      <c r="A50" t="str">
        <f>"11-7-50-5-52.10 Utility Vehicle Repair"</f>
        <v>11-7-50-5-52.10 Utility Vehicle Repair</v>
      </c>
      <c r="B50" s="7">
        <v>1500</v>
      </c>
      <c r="C50" s="7">
        <v>339.69</v>
      </c>
      <c r="D50" s="2" t="str">
        <f>"22.65%"</f>
        <v>22.65%</v>
      </c>
    </row>
    <row r="51" spans="1:11" x14ac:dyDescent="0.25">
      <c r="A51" t="str">
        <f>"11-7-50-5-52.18 Tire Chains"</f>
        <v>11-7-50-5-52.18 Tire Chains</v>
      </c>
      <c r="B51" s="7">
        <v>1000</v>
      </c>
      <c r="C51" s="7">
        <v>270.83</v>
      </c>
      <c r="D51" s="2" t="str">
        <f>"27.08%"</f>
        <v>27.08%</v>
      </c>
    </row>
    <row r="52" spans="1:11" x14ac:dyDescent="0.25">
      <c r="A52" t="str">
        <f>"11-7-50-5-52.19 Tires"</f>
        <v>11-7-50-5-52.19 Tires</v>
      </c>
      <c r="B52" s="7">
        <v>9000</v>
      </c>
      <c r="C52" s="7">
        <v>7940.94</v>
      </c>
      <c r="D52" s="2" t="str">
        <f>"88.23%"</f>
        <v>88.23%</v>
      </c>
    </row>
    <row r="53" spans="1:11" x14ac:dyDescent="0.25">
      <c r="A53" t="str">
        <f>"11-7-50-5-53.00 Small Equipment Repair"</f>
        <v>11-7-50-5-53.00 Small Equipment Repair</v>
      </c>
      <c r="B53" s="7">
        <v>1000</v>
      </c>
      <c r="C53" s="7">
        <v>509.46</v>
      </c>
      <c r="D53" s="2" t="str">
        <f>"50.95%"</f>
        <v>50.95%</v>
      </c>
    </row>
    <row r="54" spans="1:11" x14ac:dyDescent="0.25">
      <c r="A54" t="str">
        <f>"11-7-50-6-45.18 Equipment Rental"</f>
        <v>11-7-50-6-45.18 Equipment Rental</v>
      </c>
      <c r="B54" s="7">
        <v>10000</v>
      </c>
      <c r="C54" s="7">
        <v>3292.5</v>
      </c>
      <c r="D54" s="2" t="str">
        <f>"32.93%"</f>
        <v>32.93%</v>
      </c>
    </row>
    <row r="55" spans="1:11" x14ac:dyDescent="0.25">
      <c r="A55" t="str">
        <f>"11-7-50-6-46.00 Eng/Consultants - Roads"</f>
        <v>11-7-50-6-46.00 Eng/Consultants - Roads</v>
      </c>
      <c r="B55" s="7">
        <v>500</v>
      </c>
      <c r="C55" s="7">
        <v>0</v>
      </c>
      <c r="D55" s="2" t="str">
        <f>"0.00%"</f>
        <v>0.00%</v>
      </c>
    </row>
    <row r="56" spans="1:11" x14ac:dyDescent="0.25">
      <c r="A56" t="str">
        <f>"11-7-50-6-57.00 Equipment Purchase Small"</f>
        <v>11-7-50-6-57.00 Equipment Purchase Small</v>
      </c>
      <c r="B56" s="7">
        <v>7000</v>
      </c>
      <c r="C56" s="7">
        <v>5815.12</v>
      </c>
      <c r="D56" s="2" t="str">
        <f>"83.07%"</f>
        <v>83.07%</v>
      </c>
    </row>
    <row r="57" spans="1:11" x14ac:dyDescent="0.25">
      <c r="A57" t="str">
        <f>"11-7-50-6-57.01 Cutting Edges"</f>
        <v>11-7-50-6-57.01 Cutting Edges</v>
      </c>
      <c r="B57" s="7">
        <v>10000</v>
      </c>
      <c r="C57" s="7">
        <v>7957.09</v>
      </c>
      <c r="D57" s="2" t="str">
        <f>"79.57%"</f>
        <v>79.57%</v>
      </c>
    </row>
    <row r="58" spans="1:11" x14ac:dyDescent="0.25">
      <c r="A58" t="str">
        <f>"11-7-50-6-57.03 Welding &amp; Cutting Supplie"</f>
        <v>11-7-50-6-57.03 Welding &amp; Cutting Supplie</v>
      </c>
      <c r="B58" s="7">
        <v>1000</v>
      </c>
      <c r="C58" s="7">
        <v>718.93</v>
      </c>
      <c r="D58" s="2" t="str">
        <f>"71.89%"</f>
        <v>71.89%</v>
      </c>
    </row>
    <row r="59" spans="1:11" x14ac:dyDescent="0.25">
      <c r="A59" t="str">
        <f>"11-7-50-6-57.04 Equip. Rental Wood Chip"</f>
        <v>11-7-50-6-57.04 Equip. Rental Wood Chip</v>
      </c>
      <c r="B59" s="7">
        <v>2500</v>
      </c>
      <c r="C59" s="7">
        <v>2500</v>
      </c>
      <c r="D59" s="2" t="str">
        <f>"100.00%"</f>
        <v>100.00%</v>
      </c>
      <c r="K59" s="11"/>
    </row>
    <row r="60" spans="1:11" x14ac:dyDescent="0.25">
      <c r="A60" t="str">
        <f>"11-7-50-6-57.19 Misc Exp Hwy Equip Parts"</f>
        <v>11-7-50-6-57.19 Misc Exp Hwy Equip Parts</v>
      </c>
      <c r="B60" s="7">
        <v>1000</v>
      </c>
      <c r="C60" s="7">
        <v>194.14</v>
      </c>
      <c r="D60" s="2" t="str">
        <f>"19.41%"</f>
        <v>19.41%</v>
      </c>
    </row>
    <row r="61" spans="1:11" x14ac:dyDescent="0.25">
      <c r="A61" t="str">
        <f>"11-7-50-6-60.00 Patching"</f>
        <v>11-7-50-6-60.00 Patching</v>
      </c>
      <c r="B61" s="7">
        <v>2000</v>
      </c>
      <c r="C61" s="7">
        <v>3607.48</v>
      </c>
      <c r="D61" s="2" t="str">
        <f>"180.37%"</f>
        <v>180.37%</v>
      </c>
    </row>
    <row r="62" spans="1:11" x14ac:dyDescent="0.25">
      <c r="A62" t="str">
        <f>"11-7-50-6-60.01 Chloride"</f>
        <v>11-7-50-6-60.01 Chloride</v>
      </c>
      <c r="B62" s="7">
        <v>15000</v>
      </c>
      <c r="C62" s="7">
        <v>12349</v>
      </c>
      <c r="D62" s="2" t="str">
        <f>"82.33%"</f>
        <v>82.33%</v>
      </c>
    </row>
    <row r="63" spans="1:11" x14ac:dyDescent="0.25">
      <c r="A63" t="str">
        <f>"11-7-50-6-60.03 Gravel &amp; Aggregates"</f>
        <v>11-7-50-6-60.03 Gravel &amp; Aggregates</v>
      </c>
      <c r="B63" s="7">
        <v>120000</v>
      </c>
      <c r="C63" s="7">
        <v>34719.839999999997</v>
      </c>
      <c r="D63" s="2" t="str">
        <f>"28.93%"</f>
        <v>28.93%</v>
      </c>
    </row>
    <row r="64" spans="1:11" x14ac:dyDescent="0.25">
      <c r="A64" t="str">
        <f>"11-7-50-6-60.05 Salt"</f>
        <v>11-7-50-6-60.05 Salt</v>
      </c>
      <c r="B64" s="7">
        <v>100000</v>
      </c>
      <c r="C64" s="7">
        <v>97958.080000000002</v>
      </c>
      <c r="D64" s="2" t="str">
        <f>"97.96%"</f>
        <v>97.96%</v>
      </c>
    </row>
    <row r="65" spans="1:4" x14ac:dyDescent="0.25">
      <c r="A65" t="str">
        <f>"11-7-50-6-60.06 Sand"</f>
        <v>11-7-50-6-60.06 Sand</v>
      </c>
      <c r="B65" s="7">
        <v>40000</v>
      </c>
      <c r="C65" s="7">
        <v>35270.879999999997</v>
      </c>
      <c r="D65" s="2" t="str">
        <f>"88.18%"</f>
        <v>88.18%</v>
      </c>
    </row>
    <row r="66" spans="1:4" x14ac:dyDescent="0.25">
      <c r="A66" t="str">
        <f>"11-7-50-6-60.19 Misc Exp Hwy Supplies"</f>
        <v>11-7-50-6-60.19 Misc Exp Hwy Supplies</v>
      </c>
      <c r="B66" s="7">
        <v>1000</v>
      </c>
      <c r="C66" s="7">
        <v>948.54</v>
      </c>
      <c r="D66" s="2" t="str">
        <f>"94.85%"</f>
        <v>94.85%</v>
      </c>
    </row>
    <row r="67" spans="1:4" x14ac:dyDescent="0.25">
      <c r="A67" t="str">
        <f>"11-7-50-6-62.02 Sweeping"</f>
        <v>11-7-50-6-62.02 Sweeping</v>
      </c>
      <c r="B67" s="7">
        <v>5000</v>
      </c>
      <c r="C67" s="7">
        <v>4500</v>
      </c>
      <c r="D67" s="2" t="str">
        <f>"90.00%"</f>
        <v>90.00%</v>
      </c>
    </row>
    <row r="68" spans="1:4" x14ac:dyDescent="0.25">
      <c r="A68" t="str">
        <f>"11-7-50-6-63.00 Pavement markings"</f>
        <v>11-7-50-6-63.00 Pavement markings</v>
      </c>
      <c r="B68" s="7">
        <v>28400</v>
      </c>
      <c r="C68" s="7">
        <v>414.36</v>
      </c>
      <c r="D68" s="2" t="str">
        <f>"1.46%"</f>
        <v>1.46%</v>
      </c>
    </row>
    <row r="69" spans="1:4" x14ac:dyDescent="0.25">
      <c r="A69" t="str">
        <f>"11-7-50-6-63.02 Signs"</f>
        <v>11-7-50-6-63.02 Signs</v>
      </c>
      <c r="B69" s="7">
        <v>4500</v>
      </c>
      <c r="C69" s="7">
        <v>0</v>
      </c>
      <c r="D69" s="2" t="str">
        <f>"0.00%"</f>
        <v>0.00%</v>
      </c>
    </row>
    <row r="70" spans="1:4" x14ac:dyDescent="0.25">
      <c r="A70" t="str">
        <f>"11-7-50-6-63.03 Crosswalks illuminated"</f>
        <v>11-7-50-6-63.03 Crosswalks illuminated</v>
      </c>
      <c r="B70" s="7">
        <v>0</v>
      </c>
      <c r="C70" s="7">
        <v>9200</v>
      </c>
      <c r="D70" s="2" t="str">
        <f>"100.00%"</f>
        <v>100.00%</v>
      </c>
    </row>
    <row r="71" spans="1:4" x14ac:dyDescent="0.25">
      <c r="A71" t="str">
        <f>"11-7-50-6-63.04 Traffic Calming Measures"</f>
        <v>11-7-50-6-63.04 Traffic Calming Measures</v>
      </c>
      <c r="B71" s="7">
        <v>10000</v>
      </c>
      <c r="C71" s="7">
        <v>59.7</v>
      </c>
      <c r="D71" s="2" t="str">
        <f>"0.60%"</f>
        <v>0.60%</v>
      </c>
    </row>
    <row r="72" spans="1:4" x14ac:dyDescent="0.25">
      <c r="A72" t="str">
        <f>"11-7-50-6-64.00 Culverts"</f>
        <v>11-7-50-6-64.00 Culverts</v>
      </c>
      <c r="B72" s="7">
        <v>7500</v>
      </c>
      <c r="C72" s="7">
        <v>2675.4</v>
      </c>
      <c r="D72" s="2" t="str">
        <f>"35.67%"</f>
        <v>35.67%</v>
      </c>
    </row>
    <row r="73" spans="1:4" x14ac:dyDescent="0.25">
      <c r="A73" t="str">
        <f>"11-7-50-6-64.01 Retreatment"</f>
        <v>11-7-50-6-64.01 Retreatment</v>
      </c>
      <c r="B73" s="7">
        <v>295000</v>
      </c>
      <c r="C73" s="7">
        <v>292097.65000000002</v>
      </c>
      <c r="D73" s="2" t="str">
        <f>"99.02%"</f>
        <v>99.02%</v>
      </c>
    </row>
    <row r="74" spans="1:4" x14ac:dyDescent="0.25">
      <c r="A74" t="str">
        <f>"11-7-50-6-64.02 Storm Water/sidewalks"</f>
        <v>11-7-50-6-64.02 Storm Water/sidewalks</v>
      </c>
      <c r="B74" s="7">
        <v>140000</v>
      </c>
      <c r="C74" s="7">
        <v>11488.67</v>
      </c>
      <c r="D74" s="2" t="str">
        <f>"8.21%"</f>
        <v>8.21%</v>
      </c>
    </row>
    <row r="75" spans="1:4" x14ac:dyDescent="0.25">
      <c r="A75" t="str">
        <f>"11-7-90-2-90.11 Jericho Bond princ 2011"</f>
        <v>11-7-90-2-90.11 Jericho Bond princ 2011</v>
      </c>
      <c r="B75" s="7">
        <v>43200</v>
      </c>
      <c r="C75" s="7">
        <v>43200</v>
      </c>
      <c r="D75" s="2" t="str">
        <f>"100.00%"</f>
        <v>100.00%</v>
      </c>
    </row>
    <row r="76" spans="1:4" x14ac:dyDescent="0.25">
      <c r="A76" t="str">
        <f>"11-7-90-2-90.13 Jericho Bond Int 2011"</f>
        <v>11-7-90-2-90.13 Jericho Bond Int 2011</v>
      </c>
      <c r="B76" s="7">
        <v>14068</v>
      </c>
      <c r="C76" s="7">
        <v>14068.42</v>
      </c>
      <c r="D76" s="2" t="str">
        <f>"100.00%"</f>
        <v>100.00%</v>
      </c>
    </row>
    <row r="77" spans="1:4" x14ac:dyDescent="0.25">
      <c r="A77" t="str">
        <f>"11-7-90-5-90.15 Project 4a Millet Stormwa"</f>
        <v>11-7-90-5-90.15 Project 4a Millet Stormwa</v>
      </c>
      <c r="B77" s="7">
        <v>7046</v>
      </c>
      <c r="C77" s="7">
        <v>7046.27</v>
      </c>
      <c r="D77" s="2" t="str">
        <f>"100.00%"</f>
        <v>100.00%</v>
      </c>
    </row>
    <row r="78" spans="1:4" x14ac:dyDescent="0.25">
      <c r="A78" t="str">
        <f>"11-7-90-5-90.44 FY20 2020 Dump Tr prin"</f>
        <v>11-7-90-5-90.44 FY20 2020 Dump Tr prin</v>
      </c>
      <c r="B78" s="7">
        <v>1920</v>
      </c>
      <c r="C78" s="7">
        <v>1920</v>
      </c>
      <c r="D78" s="2" t="str">
        <f>"100.00%"</f>
        <v>100.00%</v>
      </c>
    </row>
    <row r="79" spans="1:4" x14ac:dyDescent="0.25">
      <c r="A79" t="str">
        <f>"11-7-90-5-90.45 FY20 2020 Dump tr int"</f>
        <v>11-7-90-5-90.45 FY20 2020 Dump tr int</v>
      </c>
      <c r="B79" s="7">
        <v>37</v>
      </c>
      <c r="C79" s="7">
        <v>120.03</v>
      </c>
      <c r="D79" s="2" t="str">
        <f>"324.41%_x000C_"</f>
        <v>324.41%_x000C_</v>
      </c>
    </row>
    <row r="80" spans="1:4" x14ac:dyDescent="0.25">
      <c r="A80" t="str">
        <f>"11-7-90-5-93.01 Highway Capital Reserve"</f>
        <v>11-7-90-5-93.01 Highway Capital Reserve</v>
      </c>
      <c r="B80" s="7">
        <v>218000</v>
      </c>
      <c r="C80" s="7">
        <v>218000</v>
      </c>
      <c r="D80" s="2" t="str">
        <f>"100.00%"</f>
        <v>100.00%</v>
      </c>
    </row>
    <row r="81" spans="1:4" x14ac:dyDescent="0.25">
      <c r="A81" t="str">
        <f>"11-7-90-5-93.02 Bridge &amp; Culvert Reserve"</f>
        <v>11-7-90-5-93.02 Bridge &amp; Culvert Reserve</v>
      </c>
      <c r="B81" s="7">
        <v>55000</v>
      </c>
      <c r="C81" s="7">
        <v>55000</v>
      </c>
      <c r="D81" s="2" t="str">
        <f>"100.00%"</f>
        <v>100.00%</v>
      </c>
    </row>
    <row r="82" spans="1:4" x14ac:dyDescent="0.25">
      <c r="A82" t="str">
        <f>"11-7-90-5-93.03 Guardrail Reserve"</f>
        <v>11-7-90-5-93.03 Guardrail Reserve</v>
      </c>
      <c r="B82" s="7">
        <v>11000</v>
      </c>
      <c r="C82" s="7">
        <v>11000</v>
      </c>
      <c r="D82" s="2" t="str">
        <f>"100.00%"</f>
        <v>100.00%</v>
      </c>
    </row>
    <row r="83" spans="1:4" x14ac:dyDescent="0.25">
      <c r="A83" t="str">
        <f>"11-7-90-5-93.05 Trans Infrastructure Rese"</f>
        <v>11-7-90-5-93.05 Trans Infrastructure Rese</v>
      </c>
      <c r="B83" s="7">
        <v>25000</v>
      </c>
      <c r="C83" s="7">
        <v>25000</v>
      </c>
      <c r="D83" s="2" t="str">
        <f>"100.00%"</f>
        <v>100.00%</v>
      </c>
    </row>
    <row r="84" spans="1:4" x14ac:dyDescent="0.25">
      <c r="A84" s="11" t="s">
        <v>5</v>
      </c>
      <c r="B84" s="7">
        <f>SUM(B15:B83)</f>
        <v>1965945</v>
      </c>
      <c r="C84" s="7">
        <f>SUM(C15:C83)</f>
        <v>1644108.3800000001</v>
      </c>
      <c r="D84" s="3">
        <f>C84/B84</f>
        <v>0.83629418930844968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62620-E67E-41B4-8541-D3B4EF186439}">
  <dimension ref="A1:D72"/>
  <sheetViews>
    <sheetView topLeftCell="A49" workbookViewId="0">
      <selection sqref="A1:XFD4"/>
    </sheetView>
  </sheetViews>
  <sheetFormatPr defaultRowHeight="15" x14ac:dyDescent="0.25"/>
  <cols>
    <col min="1" max="1" width="46" customWidth="1"/>
    <col min="2" max="2" width="14.28515625" style="7" customWidth="1"/>
    <col min="3" max="3" width="16.140625" style="7" customWidth="1"/>
    <col min="4" max="4" width="17.7109375" customWidth="1"/>
  </cols>
  <sheetData>
    <row r="1" spans="1:4" x14ac:dyDescent="0.25">
      <c r="A1" t="s">
        <v>0</v>
      </c>
      <c r="D1" s="2"/>
    </row>
    <row r="2" spans="1:4" x14ac:dyDescent="0.25">
      <c r="A2" t="s">
        <v>1</v>
      </c>
      <c r="D2" s="2"/>
    </row>
    <row r="3" spans="1:4" x14ac:dyDescent="0.25">
      <c r="D3" s="2" t="s">
        <v>2</v>
      </c>
    </row>
    <row r="4" spans="1:4" x14ac:dyDescent="0.25">
      <c r="B4" s="8" t="s">
        <v>3</v>
      </c>
      <c r="C4" s="8" t="s">
        <v>2</v>
      </c>
      <c r="D4" s="2" t="s">
        <v>4</v>
      </c>
    </row>
    <row r="5" spans="1:4" x14ac:dyDescent="0.25">
      <c r="A5" t="str">
        <f>"20-6-00-3-00.00 Water User Revenue"</f>
        <v>20-6-00-3-00.00 Water User Revenue</v>
      </c>
      <c r="B5" s="7">
        <v>334410</v>
      </c>
      <c r="C5" s="7">
        <v>304577.32</v>
      </c>
      <c r="D5" s="2" t="str">
        <f>"91.08%"</f>
        <v>91.08%</v>
      </c>
    </row>
    <row r="6" spans="1:4" x14ac:dyDescent="0.25">
      <c r="A6" t="str">
        <f>"20-6-00-3-01.00 Sale of Water from Hydran"</f>
        <v>20-6-00-3-01.00 Sale of Water from Hydran</v>
      </c>
      <c r="B6" s="7">
        <v>2000</v>
      </c>
      <c r="C6" s="7">
        <v>9567.0400000000009</v>
      </c>
      <c r="D6" s="2" t="str">
        <f>"478.35%"</f>
        <v>478.35%</v>
      </c>
    </row>
    <row r="7" spans="1:4" x14ac:dyDescent="0.25">
      <c r="A7" t="str">
        <f>"20-6-00-4-10.02 Hook On Fees - Water"</f>
        <v>20-6-00-4-10.02 Hook On Fees - Water</v>
      </c>
      <c r="B7" s="7">
        <v>500</v>
      </c>
      <c r="C7" s="7">
        <v>4901.6000000000004</v>
      </c>
      <c r="D7" s="2" t="str">
        <f>"980.32%"</f>
        <v>980.32%</v>
      </c>
    </row>
    <row r="8" spans="1:4" x14ac:dyDescent="0.25">
      <c r="A8" t="str">
        <f>"20-6-00-9-99.11 Misc Revenue Water"</f>
        <v>20-6-00-9-99.11 Misc Revenue Water</v>
      </c>
      <c r="B8" s="7">
        <v>0</v>
      </c>
      <c r="C8" s="7">
        <v>368.47</v>
      </c>
      <c r="D8" s="2" t="str">
        <f>"100.00%"</f>
        <v>100.00%</v>
      </c>
    </row>
    <row r="9" spans="1:4" x14ac:dyDescent="0.25">
      <c r="A9" t="str">
        <f>"20-6-01-4-11.14 Sale of property"</f>
        <v>20-6-01-4-11.14 Sale of property</v>
      </c>
      <c r="B9" s="7">
        <v>0</v>
      </c>
      <c r="C9" s="7">
        <v>82.29</v>
      </c>
      <c r="D9" s="2" t="str">
        <f>"100.00%"</f>
        <v>100.00%</v>
      </c>
    </row>
    <row r="10" spans="1:4" x14ac:dyDescent="0.25">
      <c r="A10" t="str">
        <f>"20-6-03-5-40.05 Net Interest on account"</f>
        <v>20-6-03-5-40.05 Net Interest on account</v>
      </c>
      <c r="B10" s="7">
        <v>11100</v>
      </c>
      <c r="C10" s="7">
        <v>10831.03</v>
      </c>
      <c r="D10" s="2" t="str">
        <f>"97.58%"</f>
        <v>97.58%</v>
      </c>
    </row>
    <row r="11" spans="1:4" x14ac:dyDescent="0.25">
      <c r="A11" t="str">
        <f>"20-6-10-4-10.04 Fire Service Fees"</f>
        <v>20-6-10-4-10.04 Fire Service Fees</v>
      </c>
      <c r="B11" s="7">
        <v>50681</v>
      </c>
      <c r="C11" s="7">
        <v>50681</v>
      </c>
      <c r="D11" s="2" t="str">
        <f>"100.00%"</f>
        <v>100.00%</v>
      </c>
    </row>
    <row r="12" spans="1:4" x14ac:dyDescent="0.25">
      <c r="A12" s="11" t="s">
        <v>6</v>
      </c>
      <c r="B12" s="7">
        <f>SUM(B5:B11)</f>
        <v>398691</v>
      </c>
      <c r="C12" s="7">
        <f>SUM(C5:C11)</f>
        <v>381008.74999999994</v>
      </c>
      <c r="D12" s="3">
        <f>C12/B12</f>
        <v>0.95564923712850292</v>
      </c>
    </row>
    <row r="13" spans="1:4" x14ac:dyDescent="0.25">
      <c r="D13" s="3"/>
    </row>
    <row r="14" spans="1:4" x14ac:dyDescent="0.25">
      <c r="A14" t="str">
        <f>"20-7-80-0-00.00 Unbudgeted Meter Install"</f>
        <v>20-7-80-0-00.00 Unbudgeted Meter Install</v>
      </c>
      <c r="B14" s="7">
        <v>0</v>
      </c>
      <c r="C14" s="7">
        <v>1250</v>
      </c>
      <c r="D14" s="2" t="str">
        <f>"100.00%"</f>
        <v>100.00%</v>
      </c>
    </row>
    <row r="15" spans="1:4" x14ac:dyDescent="0.25">
      <c r="A15" t="str">
        <f>"20-7-80-0-10.00 Salaries"</f>
        <v>20-7-80-0-10.00 Salaries</v>
      </c>
      <c r="B15" s="7">
        <v>81281</v>
      </c>
      <c r="C15" s="7">
        <v>88311.18</v>
      </c>
      <c r="D15" s="2" t="str">
        <f>"108.65%"</f>
        <v>108.65%</v>
      </c>
    </row>
    <row r="16" spans="1:4" x14ac:dyDescent="0.25">
      <c r="A16" t="str">
        <f>"20-7-80-0-10.30 Health Insurance Opt Out"</f>
        <v>20-7-80-0-10.30 Health Insurance Opt Out</v>
      </c>
      <c r="B16" s="7">
        <v>0</v>
      </c>
      <c r="C16" s="7">
        <v>461.54</v>
      </c>
      <c r="D16" s="2" t="str">
        <f>"100.00%"</f>
        <v>100.00%</v>
      </c>
    </row>
    <row r="17" spans="1:4" x14ac:dyDescent="0.25">
      <c r="A17" t="str">
        <f>"20-7-80-0-10.99 Overtime"</f>
        <v>20-7-80-0-10.99 Overtime</v>
      </c>
      <c r="B17" s="7">
        <v>4733</v>
      </c>
      <c r="C17" s="7">
        <v>7416.11</v>
      </c>
      <c r="D17" s="2" t="str">
        <f>"156.69%"</f>
        <v>156.69%</v>
      </c>
    </row>
    <row r="18" spans="1:4" x14ac:dyDescent="0.25">
      <c r="A18" t="str">
        <f>"20-7-80-0-11.00 Social Security/Medicare"</f>
        <v>20-7-80-0-11.00 Social Security/Medicare</v>
      </c>
      <c r="B18" s="7">
        <v>6627</v>
      </c>
      <c r="C18" s="7">
        <v>7068.99</v>
      </c>
      <c r="D18" s="2" t="str">
        <f>"106.67%"</f>
        <v>106.67%</v>
      </c>
    </row>
    <row r="19" spans="1:4" x14ac:dyDescent="0.25">
      <c r="A19" t="str">
        <f>"20-7-80-0-11.01 Child Care Contribution"</f>
        <v>20-7-80-0-11.01 Child Care Contribution</v>
      </c>
      <c r="B19" s="7">
        <v>0</v>
      </c>
      <c r="C19" s="7">
        <v>361.93</v>
      </c>
      <c r="D19" s="2" t="str">
        <f>"100.00%"</f>
        <v>100.00%</v>
      </c>
    </row>
    <row r="20" spans="1:4" x14ac:dyDescent="0.25">
      <c r="A20" t="str">
        <f>"20-7-80-0-12.00 Municpal Retirement VMERS"</f>
        <v>20-7-80-0-12.00 Municpal Retirement VMERS</v>
      </c>
      <c r="B20" s="7">
        <v>6021</v>
      </c>
      <c r="C20" s="7">
        <v>6725.89</v>
      </c>
      <c r="D20" s="2" t="str">
        <f>"111.71%"</f>
        <v>111.71%</v>
      </c>
    </row>
    <row r="21" spans="1:4" x14ac:dyDescent="0.25">
      <c r="A21" t="str">
        <f>"20-7-80-0-15.00 Health/Dental Ins Water"</f>
        <v>20-7-80-0-15.00 Health/Dental Ins Water</v>
      </c>
      <c r="B21" s="7">
        <v>25557</v>
      </c>
      <c r="C21" s="7">
        <v>27032.86</v>
      </c>
      <c r="D21" s="2" t="str">
        <f>"105.77%"</f>
        <v>105.77%</v>
      </c>
    </row>
    <row r="22" spans="1:4" x14ac:dyDescent="0.25">
      <c r="A22" t="str">
        <f>"20-7-80-0-15.01 Health Savings Account"</f>
        <v>20-7-80-0-15.01 Health Savings Account</v>
      </c>
      <c r="B22" s="7">
        <v>135</v>
      </c>
      <c r="C22" s="7">
        <v>156.53</v>
      </c>
      <c r="D22" s="2" t="str">
        <f>"115.95%"</f>
        <v>115.95%</v>
      </c>
    </row>
    <row r="23" spans="1:4" x14ac:dyDescent="0.25">
      <c r="A23" t="str">
        <f>"20-7-80-0-15.03 Long Term Disablity"</f>
        <v>20-7-80-0-15.03 Long Term Disablity</v>
      </c>
      <c r="B23" s="7">
        <v>506</v>
      </c>
      <c r="C23" s="7">
        <v>579.84</v>
      </c>
      <c r="D23" s="2" t="str">
        <f>"114.59%"</f>
        <v>114.59%</v>
      </c>
    </row>
    <row r="24" spans="1:4" x14ac:dyDescent="0.25">
      <c r="A24" t="str">
        <f>"20-7-80-1-16.00 Uniforms"</f>
        <v>20-7-80-1-16.00 Uniforms</v>
      </c>
      <c r="B24" s="7">
        <v>500</v>
      </c>
      <c r="C24" s="7">
        <v>0</v>
      </c>
      <c r="D24" s="2" t="str">
        <f>"0.00%"</f>
        <v>0.00%</v>
      </c>
    </row>
    <row r="25" spans="1:4" x14ac:dyDescent="0.25">
      <c r="A25" t="str">
        <f>"20-7-80-1-20.00 Office Supplies/Postage"</f>
        <v>20-7-80-1-20.00 Office Supplies/Postage</v>
      </c>
      <c r="B25" s="7">
        <v>600</v>
      </c>
      <c r="C25" s="7">
        <v>592.62</v>
      </c>
      <c r="D25" s="2" t="str">
        <f>"98.77%"</f>
        <v>98.77%</v>
      </c>
    </row>
    <row r="26" spans="1:4" x14ac:dyDescent="0.25">
      <c r="A26" t="str">
        <f>"20-7-80-1-22.00 Office Equipment"</f>
        <v>20-7-80-1-22.00 Office Equipment</v>
      </c>
      <c r="B26" s="7">
        <v>200</v>
      </c>
      <c r="C26" s="7">
        <v>5.0999999999999996</v>
      </c>
      <c r="D26" s="2" t="str">
        <f>"2.55%"</f>
        <v>2.55%</v>
      </c>
    </row>
    <row r="27" spans="1:4" x14ac:dyDescent="0.25">
      <c r="A27" t="str">
        <f>"20-7-80-1-22.01 Computer"</f>
        <v>20-7-80-1-22.01 Computer</v>
      </c>
      <c r="B27" s="7">
        <v>450</v>
      </c>
      <c r="C27" s="7">
        <v>0</v>
      </c>
      <c r="D27" s="2" t="str">
        <f>"0.00%"</f>
        <v>0.00%</v>
      </c>
    </row>
    <row r="28" spans="1:4" x14ac:dyDescent="0.25">
      <c r="A28" t="str">
        <f>"20-7-80-1-22.02 Computer Support"</f>
        <v>20-7-80-1-22.02 Computer Support</v>
      </c>
      <c r="B28" s="7">
        <v>2400</v>
      </c>
      <c r="C28" s="7">
        <v>1444.58</v>
      </c>
      <c r="D28" s="2" t="str">
        <f>"60.19%"</f>
        <v>60.19%</v>
      </c>
    </row>
    <row r="29" spans="1:4" x14ac:dyDescent="0.25">
      <c r="A29" t="str">
        <f>"20-7-80-1-24.00 Advertising"</f>
        <v>20-7-80-1-24.00 Advertising</v>
      </c>
      <c r="B29" s="7">
        <v>200</v>
      </c>
      <c r="C29" s="7">
        <v>1.08</v>
      </c>
      <c r="D29" s="2" t="str">
        <f>"0.54%"</f>
        <v>0.54%</v>
      </c>
    </row>
    <row r="30" spans="1:4" x14ac:dyDescent="0.25">
      <c r="A30" t="str">
        <f>"20-7-80-1-26.01 Admin Support from Town"</f>
        <v>20-7-80-1-26.01 Admin Support from Town</v>
      </c>
      <c r="B30" s="7">
        <v>13018</v>
      </c>
      <c r="C30" s="7">
        <v>13018.2</v>
      </c>
      <c r="D30" s="2" t="str">
        <f>"100.00%"</f>
        <v>100.00%</v>
      </c>
    </row>
    <row r="31" spans="1:4" x14ac:dyDescent="0.25">
      <c r="A31" t="str">
        <f>"20-7-80-1-26.03 Audit"</f>
        <v>20-7-80-1-26.03 Audit</v>
      </c>
      <c r="B31" s="7">
        <v>1450</v>
      </c>
      <c r="C31" s="7">
        <v>769.9</v>
      </c>
      <c r="D31" s="2" t="str">
        <f>"53.10%"</f>
        <v>53.10%</v>
      </c>
    </row>
    <row r="32" spans="1:4" x14ac:dyDescent="0.25">
      <c r="A32" t="str">
        <f>"20-7-80-1-27.00 Training/Education/Licens"</f>
        <v>20-7-80-1-27.00 Training/Education/Licens</v>
      </c>
      <c r="B32" s="7">
        <v>1300</v>
      </c>
      <c r="C32" s="7">
        <v>2990.7</v>
      </c>
      <c r="D32" s="2" t="str">
        <f>"230.05%"</f>
        <v>230.05%</v>
      </c>
    </row>
    <row r="33" spans="1:4" x14ac:dyDescent="0.25">
      <c r="A33" t="str">
        <f>"20-7-80-1-27.01 Training - Safety"</f>
        <v>20-7-80-1-27.01 Training - Safety</v>
      </c>
      <c r="B33" s="7">
        <v>100</v>
      </c>
      <c r="C33" s="7">
        <v>16.8</v>
      </c>
      <c r="D33" s="2" t="str">
        <f>"16.80%"</f>
        <v>16.80%</v>
      </c>
    </row>
    <row r="34" spans="1:4" x14ac:dyDescent="0.25">
      <c r="A34" t="str">
        <f>"20-7-80-1-29.00 Travel"</f>
        <v>20-7-80-1-29.00 Travel</v>
      </c>
      <c r="B34" s="7">
        <v>300</v>
      </c>
      <c r="C34" s="7">
        <v>1280.47</v>
      </c>
      <c r="D34" s="2" t="str">
        <f>"426.82%"</f>
        <v>426.82%</v>
      </c>
    </row>
    <row r="35" spans="1:4" x14ac:dyDescent="0.25">
      <c r="A35" t="str">
        <f>"20-7-80-1-30.00 Telephone"</f>
        <v>20-7-80-1-30.00 Telephone</v>
      </c>
      <c r="B35" s="7">
        <v>2500</v>
      </c>
      <c r="C35" s="7">
        <v>1617.54</v>
      </c>
      <c r="D35" s="2" t="str">
        <f>"64.70%"</f>
        <v>64.70%</v>
      </c>
    </row>
    <row r="36" spans="1:4" x14ac:dyDescent="0.25">
      <c r="A36" t="str">
        <f>"20-7-80-1-42.00 Association Dues"</f>
        <v>20-7-80-1-42.00 Association Dues</v>
      </c>
      <c r="B36" s="7">
        <v>300</v>
      </c>
      <c r="C36" s="7">
        <v>33</v>
      </c>
      <c r="D36" s="2" t="str">
        <f>"11.00%"</f>
        <v>11.00%</v>
      </c>
    </row>
    <row r="37" spans="1:4" x14ac:dyDescent="0.25">
      <c r="A37" t="str">
        <f>"20-7-80-1-43.00 Legal"</f>
        <v>20-7-80-1-43.00 Legal</v>
      </c>
      <c r="B37" s="7">
        <v>2000</v>
      </c>
      <c r="C37" s="7">
        <v>1911</v>
      </c>
      <c r="D37" s="2" t="str">
        <f>"95.55%"</f>
        <v>95.55%</v>
      </c>
    </row>
    <row r="38" spans="1:4" x14ac:dyDescent="0.25">
      <c r="A38" t="str">
        <f>"20-7-80-1-48.00 General Insurance"</f>
        <v>20-7-80-1-48.00 General Insurance</v>
      </c>
      <c r="B38" s="7">
        <v>7300</v>
      </c>
      <c r="C38" s="7">
        <v>6950.15</v>
      </c>
      <c r="D38" s="2" t="str">
        <f>"95.21%_x000C_"</f>
        <v>95.21%_x000C_</v>
      </c>
    </row>
    <row r="39" spans="1:4" x14ac:dyDescent="0.25">
      <c r="A39" t="str">
        <f>"20-7-83-4-16.00 Personal Protective Gear"</f>
        <v>20-7-83-4-16.00 Personal Protective Gear</v>
      </c>
      <c r="B39" s="7">
        <v>500</v>
      </c>
      <c r="C39" s="7">
        <v>218.79</v>
      </c>
      <c r="D39" s="2" t="str">
        <f>"43.76%"</f>
        <v>43.76%</v>
      </c>
    </row>
    <row r="40" spans="1:4" x14ac:dyDescent="0.25">
      <c r="A40" t="str">
        <f>"20-7-83-4-31.00 Heat"</f>
        <v>20-7-83-4-31.00 Heat</v>
      </c>
      <c r="B40" s="7">
        <v>600</v>
      </c>
      <c r="C40" s="7">
        <v>574.80999999999995</v>
      </c>
      <c r="D40" s="2" t="str">
        <f>"95.80%"</f>
        <v>95.80%</v>
      </c>
    </row>
    <row r="41" spans="1:4" x14ac:dyDescent="0.25">
      <c r="A41" t="str">
        <f>"20-7-83-4-32.00 Electricity Water House"</f>
        <v>20-7-83-4-32.00 Electricity Water House</v>
      </c>
      <c r="B41" s="7">
        <v>10500</v>
      </c>
      <c r="C41" s="7">
        <v>10343.93</v>
      </c>
      <c r="D41" s="2" t="str">
        <f>"98.51%"</f>
        <v>98.51%</v>
      </c>
    </row>
    <row r="42" spans="1:4" x14ac:dyDescent="0.25">
      <c r="A42" t="str">
        <f>"20-7-83-4-34.00 Rubbish Removal"</f>
        <v>20-7-83-4-34.00 Rubbish Removal</v>
      </c>
      <c r="B42" s="7">
        <v>2000</v>
      </c>
      <c r="C42" s="7">
        <v>2059.66</v>
      </c>
      <c r="D42" s="2" t="str">
        <f>"102.98%"</f>
        <v>102.98%</v>
      </c>
    </row>
    <row r="43" spans="1:4" x14ac:dyDescent="0.25">
      <c r="A43" t="str">
        <f>"20-7-83-4-41.00 Permits/Fees/License"</f>
        <v>20-7-83-4-41.00 Permits/Fees/License</v>
      </c>
      <c r="B43" s="7">
        <v>1900</v>
      </c>
      <c r="C43" s="7">
        <v>482</v>
      </c>
      <c r="D43" s="2" t="str">
        <f>"25.37%"</f>
        <v>25.37%</v>
      </c>
    </row>
    <row r="44" spans="1:4" x14ac:dyDescent="0.25">
      <c r="A44" t="str">
        <f>"20-7-83-4-45.00 Water Testing"</f>
        <v>20-7-83-4-45.00 Water Testing</v>
      </c>
      <c r="B44" s="7">
        <v>4000</v>
      </c>
      <c r="C44" s="7">
        <v>2048.9499999999998</v>
      </c>
      <c r="D44" s="2" t="str">
        <f>"51.22%"</f>
        <v>51.22%</v>
      </c>
    </row>
    <row r="45" spans="1:4" x14ac:dyDescent="0.25">
      <c r="A45" t="str">
        <f>"20-7-83-4-45.02 Equipment Rental"</f>
        <v>20-7-83-4-45.02 Equipment Rental</v>
      </c>
      <c r="B45" s="7">
        <v>0</v>
      </c>
      <c r="C45" s="7">
        <v>30</v>
      </c>
      <c r="D45" s="2" t="str">
        <f>"100.00%"</f>
        <v>100.00%</v>
      </c>
    </row>
    <row r="46" spans="1:4" x14ac:dyDescent="0.25">
      <c r="A46" t="str">
        <f>"20-7-83-4-46.00 Engineering"</f>
        <v>20-7-83-4-46.00 Engineering</v>
      </c>
      <c r="B46" s="7">
        <v>1000</v>
      </c>
      <c r="C46" s="7">
        <v>0</v>
      </c>
      <c r="D46" s="2" t="str">
        <f>"0.00%"</f>
        <v>0.00%</v>
      </c>
    </row>
    <row r="47" spans="1:4" x14ac:dyDescent="0.25">
      <c r="A47" t="str">
        <f>"20-7-83-4-50.00 Gas  Oil &amp; Diesel W&amp;S"</f>
        <v>20-7-83-4-50.00 Gas  Oil &amp; Diesel W&amp;S</v>
      </c>
      <c r="B47" s="7">
        <v>500</v>
      </c>
      <c r="C47" s="7">
        <v>337.13</v>
      </c>
      <c r="D47" s="2" t="str">
        <f>"67.43%"</f>
        <v>67.43%</v>
      </c>
    </row>
    <row r="48" spans="1:4" x14ac:dyDescent="0.25">
      <c r="A48" t="str">
        <f>"20-7-83-4-52.00 Fleet Maintenance"</f>
        <v>20-7-83-4-52.00 Fleet Maintenance</v>
      </c>
      <c r="B48" s="7">
        <v>1000</v>
      </c>
      <c r="C48" s="7">
        <v>316.81</v>
      </c>
      <c r="D48" s="2" t="str">
        <f>"31.68%"</f>
        <v>31.68%</v>
      </c>
    </row>
    <row r="49" spans="1:4" x14ac:dyDescent="0.25">
      <c r="A49" t="str">
        <f>"20-7-83-4-62.02 Water Line Repairs"</f>
        <v>20-7-83-4-62.02 Water Line Repairs</v>
      </c>
      <c r="B49" s="7">
        <v>15000</v>
      </c>
      <c r="C49" s="7">
        <v>7754.49</v>
      </c>
      <c r="D49" s="2" t="str">
        <f>"51.70%"</f>
        <v>51.70%</v>
      </c>
    </row>
    <row r="50" spans="1:4" x14ac:dyDescent="0.25">
      <c r="A50" t="str">
        <f>"20-7-83-4-62.03 Pumps/Tanks"</f>
        <v>20-7-83-4-62.03 Pumps/Tanks</v>
      </c>
      <c r="B50" s="7">
        <v>5000</v>
      </c>
      <c r="C50" s="7">
        <v>0</v>
      </c>
      <c r="D50" s="2" t="str">
        <f>"0.00%"</f>
        <v>0.00%</v>
      </c>
    </row>
    <row r="51" spans="1:4" x14ac:dyDescent="0.25">
      <c r="A51" t="str">
        <f>"20-7-83-4-62.04 Asphalt Repair"</f>
        <v>20-7-83-4-62.04 Asphalt Repair</v>
      </c>
      <c r="B51" s="7">
        <v>5000</v>
      </c>
      <c r="C51" s="7">
        <v>0</v>
      </c>
      <c r="D51" s="2" t="str">
        <f>"0.00%"</f>
        <v>0.00%</v>
      </c>
    </row>
    <row r="52" spans="1:4" x14ac:dyDescent="0.25">
      <c r="A52" t="str">
        <f>"20-7-83-4-62.05 Equip &amp; Tool Purchase Sma"</f>
        <v>20-7-83-4-62.05 Equip &amp; Tool Purchase Sma</v>
      </c>
      <c r="B52" s="7">
        <v>300</v>
      </c>
      <c r="C52" s="7">
        <v>182.8</v>
      </c>
      <c r="D52" s="2" t="str">
        <f>"60.93%"</f>
        <v>60.93%</v>
      </c>
    </row>
    <row r="53" spans="1:4" x14ac:dyDescent="0.25">
      <c r="A53" t="str">
        <f>"20-7-83-4-62.06 Supplies - Consumables"</f>
        <v>20-7-83-4-62.06 Supplies - Consumables</v>
      </c>
      <c r="B53" s="7">
        <v>2000</v>
      </c>
      <c r="C53" s="7">
        <v>667.88</v>
      </c>
      <c r="D53" s="2" t="str">
        <f>"33.39%"</f>
        <v>33.39%</v>
      </c>
    </row>
    <row r="54" spans="1:4" x14ac:dyDescent="0.25">
      <c r="A54" t="str">
        <f>"20-7-83-4-62.07 Meter Replacement Parts"</f>
        <v>20-7-83-4-62.07 Meter Replacement Parts</v>
      </c>
      <c r="B54" s="7">
        <v>0</v>
      </c>
      <c r="C54" s="7">
        <v>1938.07</v>
      </c>
      <c r="D54" s="2" t="str">
        <f>"100.00%"</f>
        <v>100.00%</v>
      </c>
    </row>
    <row r="55" spans="1:4" x14ac:dyDescent="0.25">
      <c r="A55" t="str">
        <f>"20-7-83-4-62.08 Grounds Maintenance"</f>
        <v>20-7-83-4-62.08 Grounds Maintenance</v>
      </c>
      <c r="B55" s="7">
        <v>700</v>
      </c>
      <c r="C55" s="7">
        <v>0</v>
      </c>
      <c r="D55" s="2" t="str">
        <f>"0.00%"</f>
        <v>0.00%</v>
      </c>
    </row>
    <row r="56" spans="1:4" x14ac:dyDescent="0.25">
      <c r="A56" t="str">
        <f>"20-7-83-4-62.09 Building Repairs"</f>
        <v>20-7-83-4-62.09 Building Repairs</v>
      </c>
      <c r="B56" s="7">
        <v>1000</v>
      </c>
      <c r="C56" s="7">
        <v>64.400000000000006</v>
      </c>
      <c r="D56" s="2" t="str">
        <f>"6.44%"</f>
        <v>6.44%</v>
      </c>
    </row>
    <row r="57" spans="1:4" x14ac:dyDescent="0.25">
      <c r="A57" t="str">
        <f>"20-7-83-4-62.10 Annueal Water Meter Fee"</f>
        <v>20-7-83-4-62.10 Annueal Water Meter Fee</v>
      </c>
      <c r="B57" s="7">
        <v>1910</v>
      </c>
      <c r="C57" s="7">
        <v>0</v>
      </c>
      <c r="D57" s="2" t="str">
        <f>"0.00%"</f>
        <v>0.00%</v>
      </c>
    </row>
    <row r="58" spans="1:4" x14ac:dyDescent="0.25">
      <c r="A58" t="str">
        <f>"20-7-83-4-65.00 Water Treatment Chemicals"</f>
        <v>20-7-83-4-65.00 Water Treatment Chemicals</v>
      </c>
      <c r="B58" s="7">
        <v>2000</v>
      </c>
      <c r="C58" s="7">
        <v>2503.88</v>
      </c>
      <c r="D58" s="2" t="str">
        <f>"125.19%"</f>
        <v>125.19%</v>
      </c>
    </row>
    <row r="59" spans="1:4" x14ac:dyDescent="0.25">
      <c r="A59" t="str">
        <f>"20-7-90-1-00.00 Unbudgeted Capital Expens"</f>
        <v>20-7-90-1-00.00 Unbudgeted Capital Expens</v>
      </c>
      <c r="B59" s="7">
        <v>0</v>
      </c>
      <c r="C59" s="7">
        <v>15741.72</v>
      </c>
      <c r="D59" s="2" t="str">
        <f>"100.00%"</f>
        <v>100.00%</v>
      </c>
    </row>
    <row r="60" spans="1:4" x14ac:dyDescent="0.25">
      <c r="A60" t="str">
        <f>"20-7-90-2-90.07 Jericho Rd Water principa"</f>
        <v>20-7-90-2-90.07 Jericho Rd Water principa</v>
      </c>
      <c r="B60" s="7">
        <v>26208</v>
      </c>
      <c r="C60" s="7">
        <v>26208</v>
      </c>
      <c r="D60" s="2" t="str">
        <f>"100.00%"</f>
        <v>100.00%</v>
      </c>
    </row>
    <row r="61" spans="1:4" x14ac:dyDescent="0.25">
      <c r="A61" t="str">
        <f>"20-7-90-2-90.08 Jericho Rd Water Interest"</f>
        <v>20-7-90-2-90.08 Jericho Rd Water Interest</v>
      </c>
      <c r="B61" s="7">
        <v>8535</v>
      </c>
      <c r="C61" s="7">
        <v>8534.83</v>
      </c>
      <c r="D61" s="2" t="str">
        <f>"100.00%"</f>
        <v>100.00%</v>
      </c>
    </row>
    <row r="62" spans="1:4" x14ac:dyDescent="0.25">
      <c r="A62" t="str">
        <f>"20-7-90-2-90.09 Distribution System Reser"</f>
        <v>20-7-90-2-90.09 Distribution System Reser</v>
      </c>
      <c r="B62" s="7">
        <v>20000</v>
      </c>
      <c r="C62" s="7">
        <v>0</v>
      </c>
      <c r="D62" s="2" t="str">
        <f>"0.00%"</f>
        <v>0.00%</v>
      </c>
    </row>
    <row r="63" spans="1:4" x14ac:dyDescent="0.25">
      <c r="A63" t="str">
        <f>"20-7-90-2-90.16 Water Tank gap princ"</f>
        <v>20-7-90-2-90.16 Water Tank gap princ</v>
      </c>
      <c r="B63" s="7">
        <v>25857</v>
      </c>
      <c r="C63" s="7">
        <v>25857</v>
      </c>
      <c r="D63" s="2" t="str">
        <f>"100.00%"</f>
        <v>100.00%</v>
      </c>
    </row>
    <row r="64" spans="1:4" x14ac:dyDescent="0.25">
      <c r="A64" t="str">
        <f>"20-7-90-2-90.17 Water Resevoir Gap intere"</f>
        <v>20-7-90-2-90.17 Water Resevoir Gap intere</v>
      </c>
      <c r="B64" s="7">
        <v>493</v>
      </c>
      <c r="C64" s="7">
        <v>580.03</v>
      </c>
      <c r="D64" s="2" t="str">
        <f>"117.65%"</f>
        <v>117.65%</v>
      </c>
    </row>
    <row r="65" spans="1:4" x14ac:dyDescent="0.25">
      <c r="A65" t="str">
        <f>"20-7-90-5-90.01 RF3-302 Water Tank princ"</f>
        <v>20-7-90-5-90.01 RF3-302 Water Tank princ</v>
      </c>
      <c r="B65" s="7">
        <v>37705</v>
      </c>
      <c r="C65" s="7">
        <v>37704.86</v>
      </c>
      <c r="D65" s="2" t="str">
        <f>"100.00%"</f>
        <v>100.00%</v>
      </c>
    </row>
    <row r="66" spans="1:4" x14ac:dyDescent="0.25">
      <c r="A66" t="str">
        <f>"20-7-90-5-90.03 Short Term Capital Reserv"</f>
        <v>20-7-90-5-90.03 Short Term Capital Reserv</v>
      </c>
      <c r="B66" s="7">
        <v>20000</v>
      </c>
      <c r="C66" s="7">
        <v>0</v>
      </c>
      <c r="D66" s="2" t="str">
        <f>"0.00%"</f>
        <v>0.00%</v>
      </c>
    </row>
    <row r="67" spans="1:4" x14ac:dyDescent="0.25">
      <c r="A67" t="str">
        <f>"20-7-90-5-90.13 RF3-365 Bridge upper &amp; Cr"</f>
        <v>20-7-90-5-90.13 RF3-365 Bridge upper &amp; Cr</v>
      </c>
      <c r="B67" s="7">
        <v>9865</v>
      </c>
      <c r="C67" s="7">
        <v>9865.35</v>
      </c>
      <c r="D67" s="2" t="str">
        <f>"100.00%"</f>
        <v>100.00%</v>
      </c>
    </row>
    <row r="68" spans="1:4" x14ac:dyDescent="0.25">
      <c r="A68" t="str">
        <f>"20-7-90-5-90.19 RF3-444 Bridge St Ctr pri"</f>
        <v>20-7-90-5-90.19 RF3-444 Bridge St Ctr pri</v>
      </c>
      <c r="B68" s="7">
        <v>2500</v>
      </c>
      <c r="C68" s="7">
        <v>1985.03</v>
      </c>
      <c r="D68" s="2" t="str">
        <f>"79.40%"</f>
        <v>79.40%</v>
      </c>
    </row>
    <row r="69" spans="1:4" x14ac:dyDescent="0.25">
      <c r="A69" t="str">
        <f>"20-7-90-5-90.20 Tilden Bridge Cochran"</f>
        <v>20-7-90-5-90.20 Tilden Bridge Cochran</v>
      </c>
      <c r="B69" s="7">
        <v>0</v>
      </c>
      <c r="C69" s="7">
        <v>42</v>
      </c>
      <c r="D69" s="2" t="str">
        <f>"100.00%"</f>
        <v>100.00%</v>
      </c>
    </row>
    <row r="70" spans="1:4" x14ac:dyDescent="0.25">
      <c r="A70" t="str">
        <f>"20-7-90-5-93.01 Water Capital Reserve"</f>
        <v>20-7-90-5-93.01 Water Capital Reserve</v>
      </c>
      <c r="B70" s="7">
        <v>10000</v>
      </c>
      <c r="C70" s="7">
        <v>10000</v>
      </c>
      <c r="D70" s="2" t="str">
        <f>"100.00%"</f>
        <v>100.00%</v>
      </c>
    </row>
    <row r="71" spans="1:4" x14ac:dyDescent="0.25">
      <c r="A71" t="str">
        <f>"20-7-90-5-93.02 RF3-335 East Main Princ"</f>
        <v>20-7-90-5-93.02 RF3-335 East Main Princ</v>
      </c>
      <c r="B71" s="7">
        <v>25140</v>
      </c>
      <c r="C71" s="7">
        <v>25139.95</v>
      </c>
      <c r="D71" s="2" t="str">
        <f>"100.00%"</f>
        <v>100.00%</v>
      </c>
    </row>
    <row r="72" spans="1:4" x14ac:dyDescent="0.25">
      <c r="A72" s="11" t="s">
        <v>7</v>
      </c>
      <c r="B72" s="7">
        <f>SUM(B14:B71)</f>
        <v>398691</v>
      </c>
      <c r="C72" s="7">
        <f>SUM(C14:C71)</f>
        <v>361178.38</v>
      </c>
      <c r="D72" s="3">
        <f>C72/B72</f>
        <v>0.90591054224951151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9DDD32-CDFE-436C-904D-D8600470CC39}">
  <dimension ref="A1:D76"/>
  <sheetViews>
    <sheetView tabSelected="1" topLeftCell="A52" workbookViewId="0">
      <selection activeCell="C81" sqref="C81"/>
    </sheetView>
  </sheetViews>
  <sheetFormatPr defaultRowHeight="15" x14ac:dyDescent="0.25"/>
  <cols>
    <col min="1" max="1" width="41.140625" customWidth="1"/>
    <col min="2" max="2" width="13.42578125" style="7" customWidth="1"/>
    <col min="3" max="3" width="12.42578125" style="7" customWidth="1"/>
    <col min="4" max="4" width="19.28515625" customWidth="1"/>
  </cols>
  <sheetData>
    <row r="1" spans="1:4" x14ac:dyDescent="0.25">
      <c r="A1" t="s">
        <v>0</v>
      </c>
      <c r="D1" s="2"/>
    </row>
    <row r="2" spans="1:4" x14ac:dyDescent="0.25">
      <c r="A2" t="s">
        <v>1</v>
      </c>
      <c r="D2" s="2"/>
    </row>
    <row r="3" spans="1:4" x14ac:dyDescent="0.25">
      <c r="D3" s="2" t="s">
        <v>2</v>
      </c>
    </row>
    <row r="4" spans="1:4" x14ac:dyDescent="0.25">
      <c r="B4" s="8" t="s">
        <v>3</v>
      </c>
      <c r="C4" s="8" t="s">
        <v>2</v>
      </c>
      <c r="D4" s="2" t="s">
        <v>4</v>
      </c>
    </row>
    <row r="5" spans="1:4" x14ac:dyDescent="0.25">
      <c r="A5" t="str">
        <f>"21-6 WASTE WATER REVENUE"</f>
        <v>21-6 WASTE WATER REVENUE</v>
      </c>
      <c r="D5" s="2" t="str">
        <f>""</f>
        <v/>
      </c>
    </row>
    <row r="6" spans="1:4" x14ac:dyDescent="0.25">
      <c r="A6" t="str">
        <f>"21-6-00-3-00.01 Wastewater User Revenue"</f>
        <v>21-6-00-3-00.01 Wastewater User Revenue</v>
      </c>
      <c r="B6" s="7">
        <v>355500</v>
      </c>
      <c r="C6" s="7">
        <v>352611.41</v>
      </c>
      <c r="D6" s="2" t="str">
        <f>"99.19%"</f>
        <v>99.19%</v>
      </c>
    </row>
    <row r="7" spans="1:4" x14ac:dyDescent="0.25">
      <c r="A7" t="str">
        <f>"21-6-00-4-10.03 Hook on fees - Wastewater"</f>
        <v>21-6-00-4-10.03 Hook on fees - Wastewater</v>
      </c>
      <c r="B7" s="7">
        <v>1000</v>
      </c>
      <c r="C7" s="7">
        <v>8250.0499999999993</v>
      </c>
      <c r="D7" s="2" t="str">
        <f>"825.01%"</f>
        <v>825.01%</v>
      </c>
    </row>
    <row r="8" spans="1:4" x14ac:dyDescent="0.25">
      <c r="A8" t="str">
        <f>"21-6-00-9-99.11 Misc Revenue Sewer"</f>
        <v>21-6-00-9-99.11 Misc Revenue Sewer</v>
      </c>
      <c r="B8" s="7">
        <v>0</v>
      </c>
      <c r="C8" s="7">
        <v>289.52</v>
      </c>
      <c r="D8" s="2" t="str">
        <f>"100.00%"</f>
        <v>100.00%</v>
      </c>
    </row>
    <row r="9" spans="1:4" x14ac:dyDescent="0.25">
      <c r="A9" t="str">
        <f>"21-6-00-9-99.13 Insurance Proceeds"</f>
        <v>21-6-00-9-99.13 Insurance Proceeds</v>
      </c>
      <c r="B9" s="7">
        <v>0</v>
      </c>
      <c r="C9" s="7">
        <v>80869.17</v>
      </c>
      <c r="D9" s="2" t="str">
        <f>"100.00%"</f>
        <v>100.00%</v>
      </c>
    </row>
    <row r="10" spans="1:4" x14ac:dyDescent="0.25">
      <c r="A10" t="str">
        <f>"21-6-01-4-11.10 Septage Revenue"</f>
        <v>21-6-01-4-11.10 Septage Revenue</v>
      </c>
      <c r="B10" s="7">
        <v>500000</v>
      </c>
      <c r="C10" s="7">
        <v>409378.18</v>
      </c>
      <c r="D10" s="2" t="str">
        <f>"81.88%"</f>
        <v>81.88%</v>
      </c>
    </row>
    <row r="11" spans="1:4" x14ac:dyDescent="0.25">
      <c r="A11" t="str">
        <f>"21-6-01-4-11.14 Sale of property"</f>
        <v>21-6-01-4-11.14 Sale of property</v>
      </c>
      <c r="B11" s="7">
        <v>0</v>
      </c>
      <c r="C11" s="7">
        <v>192.01</v>
      </c>
      <c r="D11" s="2" t="str">
        <f>"100.00%"</f>
        <v>100.00%</v>
      </c>
    </row>
    <row r="12" spans="1:4" x14ac:dyDescent="0.25">
      <c r="A12" t="str">
        <f>"21-6-03-5-40.05 Net Interest on account"</f>
        <v>21-6-03-5-40.05 Net Interest on account</v>
      </c>
      <c r="B12" s="7">
        <v>25900</v>
      </c>
      <c r="C12" s="7">
        <v>18807.72</v>
      </c>
      <c r="D12" s="2" t="str">
        <f>"72.62%"</f>
        <v>72.62%</v>
      </c>
    </row>
    <row r="13" spans="1:4" x14ac:dyDescent="0.25">
      <c r="A13" s="11" t="s">
        <v>6</v>
      </c>
      <c r="B13" s="7">
        <f>SUM(B6:B12)</f>
        <v>882400</v>
      </c>
      <c r="C13" s="7">
        <f>SUM(C6:C12)</f>
        <v>870398.05999999994</v>
      </c>
      <c r="D13" s="3">
        <f>C13/B13</f>
        <v>0.9863985267452402</v>
      </c>
    </row>
    <row r="14" spans="1:4" x14ac:dyDescent="0.25">
      <c r="D14" s="3"/>
    </row>
    <row r="15" spans="1:4" x14ac:dyDescent="0.25">
      <c r="A15" t="str">
        <f>"21-7-80-0-00.00 Unbudgeted  Meter Install"</f>
        <v>21-7-80-0-00.00 Unbudgeted  Meter Install</v>
      </c>
      <c r="B15" s="7">
        <v>0</v>
      </c>
      <c r="C15" s="7">
        <v>1250</v>
      </c>
      <c r="D15" s="2" t="str">
        <f>"100.00%"</f>
        <v>100.00%</v>
      </c>
    </row>
    <row r="16" spans="1:4" x14ac:dyDescent="0.25">
      <c r="A16" t="str">
        <f>"21-7-80-0-10.00 Salaries"</f>
        <v>21-7-80-0-10.00 Salaries</v>
      </c>
      <c r="B16" s="7">
        <v>189655</v>
      </c>
      <c r="C16" s="7">
        <v>127078.6</v>
      </c>
      <c r="D16" s="2" t="str">
        <f>"67.01%"</f>
        <v>67.01%</v>
      </c>
    </row>
    <row r="17" spans="1:4" x14ac:dyDescent="0.25">
      <c r="A17" t="str">
        <f>"21-7-80-0-10.30 Health Insurance Opt Out"</f>
        <v>21-7-80-0-10.30 Health Insurance Opt Out</v>
      </c>
      <c r="B17" s="7">
        <v>0</v>
      </c>
      <c r="C17" s="7">
        <v>1076.94</v>
      </c>
      <c r="D17" s="2" t="str">
        <f>"100.00%"</f>
        <v>100.00%</v>
      </c>
    </row>
    <row r="18" spans="1:4" x14ac:dyDescent="0.25">
      <c r="A18" t="str">
        <f>"21-7-80-0-10.99 Overtime"</f>
        <v>21-7-80-0-10.99 Overtime</v>
      </c>
      <c r="B18" s="7">
        <v>11045</v>
      </c>
      <c r="C18" s="7">
        <v>12785.73</v>
      </c>
      <c r="D18" s="2" t="str">
        <f>"115.76%"</f>
        <v>115.76%</v>
      </c>
    </row>
    <row r="19" spans="1:4" x14ac:dyDescent="0.25">
      <c r="A19" t="str">
        <f>"21-7-80-0-11.00 SS/Medicare Waste Water"</f>
        <v>21-7-80-0-11.00 SS/Medicare Waste Water</v>
      </c>
      <c r="B19" s="7">
        <v>15462</v>
      </c>
      <c r="C19" s="7">
        <v>10503.91</v>
      </c>
      <c r="D19" s="2" t="str">
        <f>"67.93%"</f>
        <v>67.93%</v>
      </c>
    </row>
    <row r="20" spans="1:4" x14ac:dyDescent="0.25">
      <c r="A20" t="str">
        <f>"21-7-80-0-11.01 Child Care Contribution"</f>
        <v>21-7-80-0-11.01 Child Care Contribution</v>
      </c>
      <c r="B20" s="7">
        <v>0</v>
      </c>
      <c r="C20" s="7">
        <v>543.02</v>
      </c>
      <c r="D20" s="2" t="str">
        <f>"100.00%"</f>
        <v>100.00%</v>
      </c>
    </row>
    <row r="21" spans="1:4" x14ac:dyDescent="0.25">
      <c r="A21" t="str">
        <f>"21-7-80-0-12.00 Municipal Retirement VMER"</f>
        <v>21-7-80-0-12.00 Municipal Retirement VMER</v>
      </c>
      <c r="B21" s="7">
        <v>14049</v>
      </c>
      <c r="C21" s="7">
        <v>9848.7900000000009</v>
      </c>
      <c r="D21" s="2" t="str">
        <f>"70.10%"</f>
        <v>70.10%</v>
      </c>
    </row>
    <row r="22" spans="1:4" x14ac:dyDescent="0.25">
      <c r="A22" t="str">
        <f>"21-7-80-0-15.00 Health/Dental Ins Waste W"</f>
        <v>21-7-80-0-15.00 Health/Dental Ins Waste W</v>
      </c>
      <c r="B22" s="7">
        <v>59632</v>
      </c>
      <c r="C22" s="7">
        <v>36857.49</v>
      </c>
      <c r="D22" s="2" t="str">
        <f>"61.81%"</f>
        <v>61.81%</v>
      </c>
    </row>
    <row r="23" spans="1:4" x14ac:dyDescent="0.25">
      <c r="A23" t="str">
        <f>"21-7-80-0-15.01 Health Insurance HSA"</f>
        <v>21-7-80-0-15.01 Health Insurance HSA</v>
      </c>
      <c r="B23" s="7">
        <v>316</v>
      </c>
      <c r="C23" s="7">
        <v>222.12</v>
      </c>
      <c r="D23" s="2" t="str">
        <f>"70.29%"</f>
        <v>70.29%</v>
      </c>
    </row>
    <row r="24" spans="1:4" x14ac:dyDescent="0.25">
      <c r="A24" t="str">
        <f>"21-7-80-0-15.06 Long Term Disability"</f>
        <v>21-7-80-0-15.06 Long Term Disability</v>
      </c>
      <c r="B24" s="7">
        <v>1180</v>
      </c>
      <c r="C24" s="7">
        <v>847</v>
      </c>
      <c r="D24" s="2" t="str">
        <f>"71.78%"</f>
        <v>71.78%</v>
      </c>
    </row>
    <row r="25" spans="1:4" x14ac:dyDescent="0.25">
      <c r="A25" t="str">
        <f>"21-7-80-1-16.00 Uniforms - Sewer"</f>
        <v>21-7-80-1-16.00 Uniforms - Sewer</v>
      </c>
      <c r="B25" s="7">
        <v>1000</v>
      </c>
      <c r="C25" s="7">
        <v>0</v>
      </c>
      <c r="D25" s="2" t="str">
        <f>"0.00%"</f>
        <v>0.00%</v>
      </c>
    </row>
    <row r="26" spans="1:4" x14ac:dyDescent="0.25">
      <c r="A26" t="str">
        <f>"21-7-80-1-20.00 Office Supplies/Postage -"</f>
        <v>21-7-80-1-20.00 Office Supplies/Postage -</v>
      </c>
      <c r="B26" s="7">
        <v>500</v>
      </c>
      <c r="C26" s="7">
        <v>497.65</v>
      </c>
      <c r="D26" s="2" t="str">
        <f>"99.53%"</f>
        <v>99.53%</v>
      </c>
    </row>
    <row r="27" spans="1:4" x14ac:dyDescent="0.25">
      <c r="A27" t="str">
        <f>"21-7-80-1-22.00 Office Equipment"</f>
        <v>21-7-80-1-22.00 Office Equipment</v>
      </c>
      <c r="B27" s="7">
        <v>400</v>
      </c>
      <c r="C27" s="7">
        <v>11.89</v>
      </c>
      <c r="D27" s="2" t="str">
        <f>"2.97%"</f>
        <v>2.97%</v>
      </c>
    </row>
    <row r="28" spans="1:4" x14ac:dyDescent="0.25">
      <c r="A28" t="str">
        <f>"21-7-80-1-22.01 Computer"</f>
        <v>21-7-80-1-22.01 Computer</v>
      </c>
      <c r="B28" s="7">
        <v>1050</v>
      </c>
      <c r="C28" s="7">
        <v>276</v>
      </c>
      <c r="D28" s="2" t="str">
        <f>"26.29%"</f>
        <v>26.29%</v>
      </c>
    </row>
    <row r="29" spans="1:4" x14ac:dyDescent="0.25">
      <c r="A29" t="str">
        <f>"21-7-80-1-22.02 Computer Support"</f>
        <v>21-7-80-1-22.02 Computer Support</v>
      </c>
      <c r="B29" s="7">
        <v>5200</v>
      </c>
      <c r="C29" s="7">
        <v>3370.61</v>
      </c>
      <c r="D29" s="2" t="str">
        <f>"64.82%"</f>
        <v>64.82%</v>
      </c>
    </row>
    <row r="30" spans="1:4" x14ac:dyDescent="0.25">
      <c r="A30" t="str">
        <f>"21-7-80-1-24.00 Advertising"</f>
        <v>21-7-80-1-24.00 Advertising</v>
      </c>
      <c r="B30" s="7">
        <v>400</v>
      </c>
      <c r="C30" s="7">
        <v>2.52</v>
      </c>
      <c r="D30" s="2" t="str">
        <f>"0.63%"</f>
        <v>0.63%</v>
      </c>
    </row>
    <row r="31" spans="1:4" x14ac:dyDescent="0.25">
      <c r="A31" t="str">
        <f>"21-7-80-1-26.01 Admin Support from Town"</f>
        <v>21-7-80-1-26.01 Admin Support from Town</v>
      </c>
      <c r="B31" s="7">
        <v>30376</v>
      </c>
      <c r="C31" s="7">
        <v>30375.8</v>
      </c>
      <c r="D31" s="2" t="str">
        <f>"100.00%"</f>
        <v>100.00%</v>
      </c>
    </row>
    <row r="32" spans="1:4" x14ac:dyDescent="0.25">
      <c r="A32" t="str">
        <f>"21-7-80-1-26.03 Audit"</f>
        <v>21-7-80-1-26.03 Audit</v>
      </c>
      <c r="B32" s="7">
        <v>3383</v>
      </c>
      <c r="C32" s="7">
        <v>1796.44</v>
      </c>
      <c r="D32" s="2" t="str">
        <f>"53.10%"</f>
        <v>53.10%</v>
      </c>
    </row>
    <row r="33" spans="1:4" x14ac:dyDescent="0.25">
      <c r="A33" t="str">
        <f>"21-7-80-1-27.00 Training/Education/Licens"</f>
        <v>21-7-80-1-27.00 Training/Education/Licens</v>
      </c>
      <c r="B33" s="7">
        <v>2770</v>
      </c>
      <c r="C33" s="7">
        <v>2276.3000000000002</v>
      </c>
      <c r="D33" s="2" t="str">
        <f>"82.18%"</f>
        <v>82.18%</v>
      </c>
    </row>
    <row r="34" spans="1:4" x14ac:dyDescent="0.25">
      <c r="A34" t="str">
        <f>"21-7-80-1-27.01 Traning - Safety"</f>
        <v>21-7-80-1-27.01 Traning - Safety</v>
      </c>
      <c r="B34" s="7">
        <v>300</v>
      </c>
      <c r="C34" s="7">
        <v>39.200000000000003</v>
      </c>
      <c r="D34" s="2" t="str">
        <f>"13.07%"</f>
        <v>13.07%</v>
      </c>
    </row>
    <row r="35" spans="1:4" x14ac:dyDescent="0.25">
      <c r="A35" t="str">
        <f>"21-7-80-1-29.00 Travel"</f>
        <v>21-7-80-1-29.00 Travel</v>
      </c>
      <c r="B35" s="7">
        <v>700</v>
      </c>
      <c r="C35" s="7">
        <v>1973.47</v>
      </c>
      <c r="D35" s="2" t="str">
        <f>"281.92%"</f>
        <v>281.92%</v>
      </c>
    </row>
    <row r="36" spans="1:4" x14ac:dyDescent="0.25">
      <c r="A36" t="str">
        <f>"21-7-80-1-30.00 Telephone"</f>
        <v>21-7-80-1-30.00 Telephone</v>
      </c>
      <c r="B36" s="7">
        <v>3800</v>
      </c>
      <c r="C36" s="7">
        <v>3774.25</v>
      </c>
      <c r="D36" s="2" t="str">
        <f>"99.32%"</f>
        <v>99.32%</v>
      </c>
    </row>
    <row r="37" spans="1:4" x14ac:dyDescent="0.25">
      <c r="A37" t="str">
        <f>"21-7-80-1-42.00 Association Dues"</f>
        <v>21-7-80-1-42.00 Association Dues</v>
      </c>
      <c r="B37" s="7">
        <v>800</v>
      </c>
      <c r="C37" s="7">
        <v>77</v>
      </c>
      <c r="D37" s="2" t="str">
        <f>"9.63%"</f>
        <v>9.63%</v>
      </c>
    </row>
    <row r="38" spans="1:4" x14ac:dyDescent="0.25">
      <c r="A38" t="str">
        <f>"21-7-80-1-43.00 Legal"</f>
        <v>21-7-80-1-43.00 Legal</v>
      </c>
      <c r="B38" s="7">
        <v>4000</v>
      </c>
      <c r="C38" s="7">
        <v>52.5</v>
      </c>
      <c r="D38" s="2" t="str">
        <f>"1.31%"</f>
        <v>1.31%</v>
      </c>
    </row>
    <row r="39" spans="1:4" x14ac:dyDescent="0.25">
      <c r="A39" t="str">
        <f>"21-7-80-1-48.00 General Insurance"</f>
        <v>21-7-80-1-48.00 General Insurance</v>
      </c>
      <c r="B39" s="7">
        <v>15000</v>
      </c>
      <c r="C39" s="7">
        <v>17322.12</v>
      </c>
      <c r="D39" s="2" t="str">
        <f>"115.48%"</f>
        <v>115.48%</v>
      </c>
    </row>
    <row r="40" spans="1:4" x14ac:dyDescent="0.25">
      <c r="A40" t="str">
        <f>"21-7-82-2-32.01 Electricity"</f>
        <v>21-7-82-2-32.01 Electricity</v>
      </c>
      <c r="B40" s="7">
        <v>1100</v>
      </c>
      <c r="C40" s="7">
        <v>1351.52</v>
      </c>
      <c r="D40" s="2" t="str">
        <f>"122.87%"</f>
        <v>122.87%</v>
      </c>
    </row>
    <row r="41" spans="1:4" x14ac:dyDescent="0.25">
      <c r="A41" t="str">
        <f>"21-7-82-2-62.03 Pump Station Maintenance"</f>
        <v>21-7-82-2-62.03 Pump Station Maintenance</v>
      </c>
      <c r="B41" s="7">
        <v>1800</v>
      </c>
      <c r="C41" s="7">
        <v>4858.04</v>
      </c>
      <c r="D41" s="2" t="str">
        <f>"269.89%"</f>
        <v>269.89%</v>
      </c>
    </row>
    <row r="42" spans="1:4" x14ac:dyDescent="0.25">
      <c r="A42" t="str">
        <f>"21-7-82-3-16.00 Personal Protective Gear"</f>
        <v>21-7-82-3-16.00 Personal Protective Gear</v>
      </c>
      <c r="B42" s="7">
        <v>500</v>
      </c>
      <c r="C42" s="7">
        <v>133.21</v>
      </c>
      <c r="D42" s="2" t="str">
        <f>"26.64%_x000C_"</f>
        <v>26.64%_x000C_</v>
      </c>
    </row>
    <row r="43" spans="1:4" x14ac:dyDescent="0.25">
      <c r="A43" t="str">
        <f>"21-7-82-3-31.00 Heat"</f>
        <v>21-7-82-3-31.00 Heat</v>
      </c>
      <c r="B43" s="7">
        <v>10000</v>
      </c>
      <c r="C43" s="7">
        <v>9118.3799999999992</v>
      </c>
      <c r="D43" s="2" t="str">
        <f>"91.18%"</f>
        <v>91.18%</v>
      </c>
    </row>
    <row r="44" spans="1:4" x14ac:dyDescent="0.25">
      <c r="A44" t="str">
        <f>"21-7-82-3-32.00 Electricity Plant"</f>
        <v>21-7-82-3-32.00 Electricity Plant</v>
      </c>
      <c r="B44" s="7">
        <v>45000</v>
      </c>
      <c r="C44" s="7">
        <v>36656.980000000003</v>
      </c>
      <c r="D44" s="2" t="str">
        <f>"81.46%"</f>
        <v>81.46%</v>
      </c>
    </row>
    <row r="45" spans="1:4" x14ac:dyDescent="0.25">
      <c r="A45" t="str">
        <f>"21-7-82-3-32.02 Water usage - Treatment p"</f>
        <v>21-7-82-3-32.02 Water usage - Treatment p</v>
      </c>
      <c r="B45" s="7">
        <v>32000</v>
      </c>
      <c r="C45" s="7">
        <v>8715.5300000000007</v>
      </c>
      <c r="D45" s="2" t="str">
        <f>"27.24%"</f>
        <v>27.24%</v>
      </c>
    </row>
    <row r="46" spans="1:4" x14ac:dyDescent="0.25">
      <c r="A46" t="str">
        <f>"21-7-82-3-34.00 Rubbish removal"</f>
        <v>21-7-82-3-34.00 Rubbish removal</v>
      </c>
      <c r="B46" s="7">
        <v>5500</v>
      </c>
      <c r="C46" s="7">
        <v>4805.8</v>
      </c>
      <c r="D46" s="2" t="str">
        <f>"87.38%"</f>
        <v>87.38%</v>
      </c>
    </row>
    <row r="47" spans="1:4" x14ac:dyDescent="0.25">
      <c r="A47" t="str">
        <f>"21-7-82-3-41.00 Permits/Certs/License"</f>
        <v>21-7-82-3-41.00 Permits/Certs/License</v>
      </c>
      <c r="B47" s="7">
        <v>800</v>
      </c>
      <c r="C47" s="7">
        <v>2342.92</v>
      </c>
      <c r="D47" s="2" t="str">
        <f>"292.87%"</f>
        <v>292.87%</v>
      </c>
    </row>
    <row r="48" spans="1:4" x14ac:dyDescent="0.25">
      <c r="A48" t="str">
        <f>"21-7-82-3-45.00 Wastewater Testing"</f>
        <v>21-7-82-3-45.00 Wastewater Testing</v>
      </c>
      <c r="B48" s="7">
        <v>7500</v>
      </c>
      <c r="C48" s="7">
        <v>4308.8599999999997</v>
      </c>
      <c r="D48" s="2" t="str">
        <f>"57.45%"</f>
        <v>57.45%</v>
      </c>
    </row>
    <row r="49" spans="1:4" x14ac:dyDescent="0.25">
      <c r="A49" t="str">
        <f>"21-7-82-3-45.01 Biosolids Testing"</f>
        <v>21-7-82-3-45.01 Biosolids Testing</v>
      </c>
      <c r="B49" s="7">
        <v>4500</v>
      </c>
      <c r="C49" s="7">
        <v>4070</v>
      </c>
      <c r="D49" s="2" t="str">
        <f>"90.44%"</f>
        <v>90.44%</v>
      </c>
    </row>
    <row r="50" spans="1:4" x14ac:dyDescent="0.25">
      <c r="A50" t="str">
        <f>"21-7-82-3-45.02 Equipment rental"</f>
        <v>21-7-82-3-45.02 Equipment rental</v>
      </c>
      <c r="B50" s="7">
        <v>0</v>
      </c>
      <c r="C50" s="7">
        <v>70</v>
      </c>
      <c r="D50" s="2" t="str">
        <f>"100.00%"</f>
        <v>100.00%</v>
      </c>
    </row>
    <row r="51" spans="1:4" x14ac:dyDescent="0.25">
      <c r="A51" t="str">
        <f>"21-7-82-3-45.03 Biosolids disposal"</f>
        <v>21-7-82-3-45.03 Biosolids disposal</v>
      </c>
      <c r="B51" s="7">
        <v>150000</v>
      </c>
      <c r="C51" s="7">
        <v>56755.12</v>
      </c>
      <c r="D51" s="2" t="str">
        <f>"37.84%"</f>
        <v>37.84%</v>
      </c>
    </row>
    <row r="52" spans="1:4" x14ac:dyDescent="0.25">
      <c r="A52" t="str">
        <f>"21-7-82-3-45.04 Contracted Operators"</f>
        <v>21-7-82-3-45.04 Contracted Operators</v>
      </c>
      <c r="B52" s="7">
        <v>41340</v>
      </c>
      <c r="C52" s="7">
        <v>38585</v>
      </c>
      <c r="D52" s="2" t="str">
        <f>"93.34%"</f>
        <v>93.34%</v>
      </c>
    </row>
    <row r="53" spans="1:4" x14ac:dyDescent="0.25">
      <c r="A53" t="str">
        <f>"21-7-82-3-46.00 Engineering"</f>
        <v>21-7-82-3-46.00 Engineering</v>
      </c>
      <c r="B53" s="7">
        <v>500</v>
      </c>
      <c r="C53" s="7">
        <v>0</v>
      </c>
      <c r="D53" s="2" t="str">
        <f>"0.00%"</f>
        <v>0.00%</v>
      </c>
    </row>
    <row r="54" spans="1:4" x14ac:dyDescent="0.25">
      <c r="A54" t="str">
        <f>"21-7-82-3-50.00 Gas  Oil  Diesel"</f>
        <v>21-7-82-3-50.00 Gas  Oil  Diesel</v>
      </c>
      <c r="B54" s="7">
        <v>1800</v>
      </c>
      <c r="C54" s="7">
        <v>1166.78</v>
      </c>
      <c r="D54" s="2" t="str">
        <f>"64.82%"</f>
        <v>64.82%</v>
      </c>
    </row>
    <row r="55" spans="1:4" x14ac:dyDescent="0.25">
      <c r="A55" t="str">
        <f>"21-7-82-3-52.00 Fleet maintenance"</f>
        <v>21-7-82-3-52.00 Fleet maintenance</v>
      </c>
      <c r="B55" s="7">
        <v>2500</v>
      </c>
      <c r="C55" s="7">
        <v>2157.41</v>
      </c>
      <c r="D55" s="2" t="str">
        <f>"86.30%"</f>
        <v>86.30%</v>
      </c>
    </row>
    <row r="56" spans="1:4" x14ac:dyDescent="0.25">
      <c r="A56" t="str">
        <f>"21-7-82-3-62.00 WWTF Repair"</f>
        <v>21-7-82-3-62.00 WWTF Repair</v>
      </c>
      <c r="B56" s="7">
        <v>12000</v>
      </c>
      <c r="C56" s="7">
        <v>21566.95</v>
      </c>
      <c r="D56" s="2" t="str">
        <f>"179.72%"</f>
        <v>179.72%</v>
      </c>
    </row>
    <row r="57" spans="1:4" x14ac:dyDescent="0.25">
      <c r="A57" t="str">
        <f>"21-7-82-3-62.01 Biosolids facility repair"</f>
        <v>21-7-82-3-62.01 Biosolids facility repair</v>
      </c>
      <c r="B57" s="7">
        <v>10000</v>
      </c>
      <c r="C57" s="7">
        <v>10949.06</v>
      </c>
      <c r="D57" s="2" t="str">
        <f>"109.49%"</f>
        <v>109.49%</v>
      </c>
    </row>
    <row r="58" spans="1:4" x14ac:dyDescent="0.25">
      <c r="A58" t="str">
        <f>"21-7-82-3-62.02 Collection system repair"</f>
        <v>21-7-82-3-62.02 Collection system repair</v>
      </c>
      <c r="B58" s="7">
        <v>4000</v>
      </c>
      <c r="C58" s="7">
        <v>0</v>
      </c>
      <c r="D58" s="2" t="str">
        <f>"0.00%"</f>
        <v>0.00%</v>
      </c>
    </row>
    <row r="59" spans="1:4" x14ac:dyDescent="0.25">
      <c r="A59" t="str">
        <f>"21-7-82-3-65.00 Wastewater Chemicals"</f>
        <v>21-7-82-3-65.00 Wastewater Chemicals</v>
      </c>
      <c r="B59" s="7">
        <v>17000</v>
      </c>
      <c r="C59" s="7">
        <v>13589.88</v>
      </c>
      <c r="D59" s="2" t="str">
        <f>"79.94%"</f>
        <v>79.94%</v>
      </c>
    </row>
    <row r="60" spans="1:4" x14ac:dyDescent="0.25">
      <c r="A60" t="str">
        <f>"21-7-82-3-65.01 Biosolids Chemicals"</f>
        <v>21-7-82-3-65.01 Biosolids Chemicals</v>
      </c>
      <c r="B60" s="7">
        <v>70000</v>
      </c>
      <c r="C60" s="7">
        <v>25593.64</v>
      </c>
      <c r="D60" s="2" t="str">
        <f>"36.56%"</f>
        <v>36.56%</v>
      </c>
    </row>
    <row r="61" spans="1:4" x14ac:dyDescent="0.25">
      <c r="A61" t="str">
        <f>"21-7-82-3-66.00 Supplies - Consumables"</f>
        <v>21-7-82-3-66.00 Supplies - Consumables</v>
      </c>
      <c r="B61" s="7">
        <v>4000</v>
      </c>
      <c r="C61" s="7">
        <v>1861.68</v>
      </c>
      <c r="D61" s="2" t="str">
        <f>"46.54%"</f>
        <v>46.54%</v>
      </c>
    </row>
    <row r="62" spans="1:4" x14ac:dyDescent="0.25">
      <c r="A62" t="str">
        <f>"21-7-83-4-62.05 Equipment Purchase - Smal"</f>
        <v>21-7-83-4-62.05 Equipment Purchase - Smal</v>
      </c>
      <c r="B62" s="7">
        <v>700</v>
      </c>
      <c r="C62" s="7">
        <v>0</v>
      </c>
      <c r="D62" s="2" t="str">
        <f>"0.00%"</f>
        <v>0.00%</v>
      </c>
    </row>
    <row r="63" spans="1:4" x14ac:dyDescent="0.25">
      <c r="A63" t="str">
        <f>"21-7-83-4-62.07 Meter Replacement Parts"</f>
        <v>21-7-83-4-62.07 Meter Replacement Parts</v>
      </c>
      <c r="B63" s="7">
        <v>0</v>
      </c>
      <c r="C63" s="7">
        <v>1938.07</v>
      </c>
      <c r="D63" s="2" t="str">
        <f>"100.00%"</f>
        <v>100.00%</v>
      </c>
    </row>
    <row r="64" spans="1:4" x14ac:dyDescent="0.25">
      <c r="A64" t="str">
        <f>"21-7-83-4-62.08 Grounds Maintenance"</f>
        <v>21-7-83-4-62.08 Grounds Maintenance</v>
      </c>
      <c r="B64" s="7">
        <v>300</v>
      </c>
      <c r="C64" s="7">
        <v>0</v>
      </c>
      <c r="D64" s="2" t="str">
        <f>"0.00%"</f>
        <v>0.00%</v>
      </c>
    </row>
    <row r="65" spans="1:4" x14ac:dyDescent="0.25">
      <c r="A65" t="str">
        <f>"21-7-83-4-62.09 Building Maintenance"</f>
        <v>21-7-83-4-62.09 Building Maintenance</v>
      </c>
      <c r="B65" s="7">
        <v>1000</v>
      </c>
      <c r="C65" s="7">
        <v>4519.75</v>
      </c>
      <c r="D65" s="2" t="str">
        <f>"451.98%"</f>
        <v>451.98%</v>
      </c>
    </row>
    <row r="66" spans="1:4" x14ac:dyDescent="0.25">
      <c r="A66" t="str">
        <f>"21-7-83-4-62.10 Annual Meter Fee"</f>
        <v>21-7-83-4-62.10 Annual Meter Fee</v>
      </c>
      <c r="B66" s="7">
        <v>1910</v>
      </c>
      <c r="C66" s="7">
        <v>0</v>
      </c>
      <c r="D66" s="2" t="str">
        <f>"0.00%"</f>
        <v>0.00%</v>
      </c>
    </row>
    <row r="67" spans="1:4" x14ac:dyDescent="0.25">
      <c r="A67" t="str">
        <f>"21-7-90-2-90.00 RF1-074 Phosphorus Intere"</f>
        <v>21-7-90-2-90.00 RF1-074 Phosphorus Intere</v>
      </c>
      <c r="B67" s="7">
        <v>0</v>
      </c>
      <c r="C67" s="7">
        <v>862.84</v>
      </c>
      <c r="D67" s="2" t="str">
        <f>"100.00%"</f>
        <v>100.00%</v>
      </c>
    </row>
    <row r="68" spans="1:4" x14ac:dyDescent="0.25">
      <c r="A68" t="str">
        <f>"21-7-90-2-90.01 RF1-101 planning principa"</f>
        <v>21-7-90-2-90.01 RF1-101 planning principa</v>
      </c>
      <c r="B68" s="7">
        <v>12021</v>
      </c>
      <c r="C68" s="7">
        <v>12021.12</v>
      </c>
      <c r="D68" s="2" t="str">
        <f>"100.00%"</f>
        <v>100.00%</v>
      </c>
    </row>
    <row r="69" spans="1:4" x14ac:dyDescent="0.25">
      <c r="A69" t="str">
        <f>"21-7-90-2-90.02 RF1-074 Phosphorus princi"</f>
        <v>21-7-90-2-90.02 RF1-074 Phosphorus princi</v>
      </c>
      <c r="B69" s="7">
        <v>22220</v>
      </c>
      <c r="C69" s="7">
        <v>21357.34</v>
      </c>
      <c r="D69" s="2" t="str">
        <f>"96.12%"</f>
        <v>96.12%</v>
      </c>
    </row>
    <row r="70" spans="1:4" x14ac:dyDescent="0.25">
      <c r="A70" t="str">
        <f>"21-7-90-2-90.06 AR1-058 7a Sanit Sewer"</f>
        <v>21-7-90-2-90.06 AR1-058 7a Sanit Sewer</v>
      </c>
      <c r="B70" s="7">
        <v>14093</v>
      </c>
      <c r="C70" s="7">
        <v>14092.53</v>
      </c>
      <c r="D70" s="2" t="str">
        <f>"100.00%"</f>
        <v>100.00%</v>
      </c>
    </row>
    <row r="71" spans="1:4" x14ac:dyDescent="0.25">
      <c r="A71" t="str">
        <f>"21-7-90-2-90.14 Jericho Rd loan princip 4"</f>
        <v>21-7-90-2-90.14 Jericho Rd loan princip 4</v>
      </c>
      <c r="B71" s="7">
        <v>20592</v>
      </c>
      <c r="C71" s="7">
        <v>20592</v>
      </c>
      <c r="D71" s="2" t="str">
        <f>"100.00%"</f>
        <v>100.00%</v>
      </c>
    </row>
    <row r="72" spans="1:4" x14ac:dyDescent="0.25">
      <c r="A72" t="str">
        <f>"21-7-90-2-90.16 Jericho Rd Loan Interest"</f>
        <v>21-7-90-2-90.16 Jericho Rd Loan Interest</v>
      </c>
      <c r="B72" s="7">
        <v>6706</v>
      </c>
      <c r="C72" s="7">
        <v>6705.94</v>
      </c>
      <c r="D72" s="2" t="str">
        <f>"100.00%"</f>
        <v>100.00%</v>
      </c>
    </row>
    <row r="73" spans="1:4" x14ac:dyDescent="0.25">
      <c r="A73" t="str">
        <f>"21-7-90-5-90.21 Flood Mitigation Pump Sta"</f>
        <v>21-7-90-5-90.21 Flood Mitigation Pump Sta</v>
      </c>
      <c r="B73" s="7">
        <v>0</v>
      </c>
      <c r="C73" s="7">
        <v>21197.16</v>
      </c>
      <c r="D73" s="2" t="str">
        <f>"100.00%"</f>
        <v>100.00%</v>
      </c>
    </row>
    <row r="74" spans="1:4" x14ac:dyDescent="0.25">
      <c r="A74" t="str">
        <f>"21-7-90-5-93.00 Wastewater Capital Reserv"</f>
        <v>21-7-90-5-93.00 Wastewater Capital Reserv</v>
      </c>
      <c r="B74" s="7">
        <v>10000</v>
      </c>
      <c r="C74" s="7">
        <v>58108.5</v>
      </c>
      <c r="D74" s="2" t="str">
        <f>"581.09%"</f>
        <v>581.09%</v>
      </c>
    </row>
    <row r="75" spans="1:4" x14ac:dyDescent="0.25">
      <c r="A75" t="str">
        <f>"21-7-90-5-93.04 Short Term (10yr) Reserve"</f>
        <v>21-7-90-5-93.04 Short Term (10yr) Reserve</v>
      </c>
      <c r="B75" s="7">
        <v>10000</v>
      </c>
      <c r="C75" s="7">
        <v>0</v>
      </c>
      <c r="D75" s="2" t="str">
        <f>"0.00%"</f>
        <v>0.00%</v>
      </c>
    </row>
    <row r="76" spans="1:4" x14ac:dyDescent="0.25">
      <c r="A76" s="11" t="s">
        <v>7</v>
      </c>
      <c r="B76" s="7">
        <f>SUM(B15:B75)</f>
        <v>882400</v>
      </c>
      <c r="C76" s="7">
        <f>SUM(C15:C75)</f>
        <v>672911.35999999999</v>
      </c>
      <c r="D76" s="1">
        <f>C76/B76</f>
        <v>0.7625922030825022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BA3BF2F584AD458324862D37B9DE85" ma:contentTypeVersion="15" ma:contentTypeDescription="Create a new document." ma:contentTypeScope="" ma:versionID="527726fbf5dcc30055cf514256135c13">
  <xsd:schema xmlns:xsd="http://www.w3.org/2001/XMLSchema" xmlns:xs="http://www.w3.org/2001/XMLSchema" xmlns:p="http://schemas.microsoft.com/office/2006/metadata/properties" xmlns:ns2="3d16f480-6ebf-47a2-9bd1-6816454ae62c" xmlns:ns3="272e45d5-9337-4910-aaee-a84e64b9f664" targetNamespace="http://schemas.microsoft.com/office/2006/metadata/properties" ma:root="true" ma:fieldsID="0e6165961ed25c2ce7308341af51de7a" ns2:_="" ns3:_="">
    <xsd:import namespace="3d16f480-6ebf-47a2-9bd1-6816454ae62c"/>
    <xsd:import namespace="272e45d5-9337-4910-aaee-a84e64b9f66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16f480-6ebf-47a2-9bd1-6816454ae6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566be3a3-f8a2-47ca-bc7b-567389f5f6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2e45d5-9337-4910-aaee-a84e64b9f664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e583091c-aad1-4d81-98e3-feb9768416b9}" ma:internalName="TaxCatchAll" ma:showField="CatchAllData" ma:web="272e45d5-9337-4910-aaee-a84e64b9f66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72e45d5-9337-4910-aaee-a84e64b9f664" xsi:nil="true"/>
    <lcf76f155ced4ddcb4097134ff3c332f xmlns="3d16f480-6ebf-47a2-9bd1-6816454ae62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845A26D-08DD-4B60-8E3D-8B0277FAA3D2}"/>
</file>

<file path=customXml/itemProps2.xml><?xml version="1.0" encoding="utf-8"?>
<ds:datastoreItem xmlns:ds="http://schemas.openxmlformats.org/officeDocument/2006/customXml" ds:itemID="{5DCF2A10-5DBF-4CEB-98BD-7BDA3CA09F0A}"/>
</file>

<file path=customXml/itemProps3.xml><?xml version="1.0" encoding="utf-8"?>
<ds:datastoreItem xmlns:ds="http://schemas.openxmlformats.org/officeDocument/2006/customXml" ds:itemID="{A81514D4-B66D-41C7-B1FF-9DA8FDA33DE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Admin</vt:lpstr>
      <vt:lpstr>Listers</vt:lpstr>
      <vt:lpstr>PZ</vt:lpstr>
      <vt:lpstr>Police</vt:lpstr>
      <vt:lpstr>Library</vt:lpstr>
      <vt:lpstr>Fire</vt:lpstr>
      <vt:lpstr>Recreation</vt:lpstr>
      <vt:lpstr>Appropriations</vt:lpstr>
      <vt:lpstr>Highway</vt:lpstr>
      <vt:lpstr>Water</vt:lpstr>
      <vt:lpstr>Wastewater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Connie Bona</dc:creator>
  <cp:lastModifiedBy>Connie Bona</cp:lastModifiedBy>
  <dcterms:created xsi:type="dcterms:W3CDTF">2025-05-23T13:14:43Z</dcterms:created>
  <dcterms:modified xsi:type="dcterms:W3CDTF">2025-05-23T14:40:42Z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0x0101009BBA3BF2F584AD458324862D37B9DE85</vt:lpwstr>
  </property>
</Properties>
</file>